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Users\E1010116\Omat tiedostot\RAPU\Julkaisuaineistot\"/>
    </mc:Choice>
  </mc:AlternateContent>
  <xr:revisionPtr revIDLastSave="0" documentId="13_ncr:1_{C280503B-CAC6-4D1A-B131-3540D43A1CD5}" xr6:coauthVersionLast="47" xr6:coauthVersionMax="47" xr10:uidLastSave="{00000000-0000-0000-0000-000000000000}"/>
  <workbookProtection workbookAlgorithmName="SHA-512" workbookHashValue="uMfzGdqrJY+5Z6s82yWhyrrz1mg/X2C4rBSpp081kPZW0gdOQHlPf7hjXBmc2nvpUXbX2kKiF5UcylfEaoUJmw==" workbookSaltValue="JLN2FC99JfqW8c8/LX+sMA==" workbookSpinCount="100000" lockStructure="1"/>
  <bookViews>
    <workbookView xWindow="-13815" yWindow="-16320" windowWidth="29040" windowHeight="15720" xr2:uid="{8EAE6B51-7F06-43FB-B939-646F8FADD0C3}"/>
  </bookViews>
  <sheets>
    <sheet name="Ohje" sheetId="2" r:id="rId1"/>
    <sheet name="Purkulaskuri" sheetId="7" r:id="rId2"/>
    <sheet name="Tiedot" sheetId="5" state="hidden" r:id="rId3"/>
    <sheet name="Kokoparametrit" sheetId="4" state="hidden" r:id="rId4"/>
    <sheet name="Materiaaliparametrit" sheetId="11" state="hidden" r:id="rId5"/>
    <sheet name="Materiaalilaskenta" sheetId="10" state="hidden" r:id="rId6"/>
    <sheet name="Kuva" sheetId="8" state="hidden" r:id="rId7"/>
    <sheet name="Apu" sheetId="3" state="hidden" r:id="rId8"/>
  </sheets>
  <definedNames>
    <definedName name="AsfalttiAla">Materiaalilaskenta!$B$51</definedName>
    <definedName name="HormiLkm">Materiaalilaskenta!$B$52</definedName>
    <definedName name="HormiMassa">Materiaalilaskenta!$B$54</definedName>
    <definedName name="IkkunaAla">Materiaalilaskenta!$B$41</definedName>
    <definedName name="jp_05dec">Tiedot!$B$82</definedName>
    <definedName name="Julkisivu1">Materiaalilaskenta!$B$7</definedName>
    <definedName name="Julkisivu2">Materiaalilaskenta!$B$9</definedName>
    <definedName name="JulkisivuAla">Materiaalilaskenta!$B$36</definedName>
    <definedName name="JulkisivuAla1">Materiaalilaskenta!$B$39</definedName>
    <definedName name="JulkisivuAla2">Materiaalilaskenta!$B$40</definedName>
    <definedName name="K">Materiaalilaskenta!$B$31</definedName>
    <definedName name="KattoAla">Materiaalilaskenta!$B$42</definedName>
    <definedName name="Kattomateriaali">Materiaalilaskenta!$B$12</definedName>
    <definedName name="Kellaripiiri">Materiaalilaskenta!$B$49</definedName>
    <definedName name="MärkätilaAla">Materiaalilaskenta!$B$46</definedName>
    <definedName name="MärkätilaAlaluku">Tiedot!$B$74</definedName>
    <definedName name="NurkkaLkm">Materiaalilaskenta!$B$50</definedName>
    <definedName name="PohjaAla">Materiaalilaskenta!$B$33</definedName>
    <definedName name="PohjaPiiri">Materiaalilaskenta!$B$48</definedName>
    <definedName name="pp_05dec">Tiedot!$B$83</definedName>
    <definedName name="_xlnm.Print_Area" localSheetId="1">Purkulaskuri!$B$2:$AR$41</definedName>
    <definedName name="regr_I">Tiedot!$B$67</definedName>
    <definedName name="regr_k">Tiedot!$B$66</definedName>
    <definedName name="ri_jp">Tiedot!$B$73</definedName>
    <definedName name="ri_NurkkaAla">Tiedot!$B$77</definedName>
    <definedName name="ri_paff">Tiedot!$B$64</definedName>
    <definedName name="ri_pp">Tiedot!$B$69</definedName>
    <definedName name="ri_vpala">Tiedot!$B$71</definedName>
    <definedName name="rs_jp">Tiedot!$B$72</definedName>
    <definedName name="rs_NurkkaAla">Tiedot!$B$76</definedName>
    <definedName name="rs_paff">Tiedot!$B$63</definedName>
    <definedName name="rs_pp">Tiedot!$B$68</definedName>
    <definedName name="rs_vpala">Tiedot!$B$70</definedName>
    <definedName name="rs0_VpAla">Tiedot!$B$81</definedName>
    <definedName name="Runko1">Materiaalilaskenta!$B$3</definedName>
    <definedName name="Runko2">Materiaalilaskenta!$B$5</definedName>
    <definedName name="RunkoAla1">Materiaalilaskenta!$B$37</definedName>
    <definedName name="RunkoAla2">Materiaalilaskenta!$B$38</definedName>
    <definedName name="V">Materiaalilaskenta!$B$32</definedName>
    <definedName name="VolAlaSuhde">Tiedot!$B$65</definedName>
    <definedName name="VälipohjaAla">Materiaalilaskenta!$B$35</definedName>
    <definedName name="VäliseinäAla">Materiaalilaskenta!$B$45</definedName>
    <definedName name="VäliseinäOmluku">Tiedot!$B$75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0" l="1"/>
  <c r="C32" i="5"/>
  <c r="D34" i="5"/>
  <c r="C24" i="10" s="1"/>
  <c r="D35" i="5"/>
  <c r="C25" i="10" s="1"/>
  <c r="D36" i="5"/>
  <c r="C26" i="10" s="1"/>
  <c r="D37" i="5"/>
  <c r="C27" i="10" s="1"/>
  <c r="D33" i="5"/>
  <c r="C23" i="10" s="1"/>
  <c r="C34" i="5"/>
  <c r="C35" i="5"/>
  <c r="C36" i="5"/>
  <c r="C37" i="5"/>
  <c r="C33" i="5"/>
  <c r="B80" i="5"/>
  <c r="C27" i="5" l="1"/>
  <c r="B153" i="10" a="1"/>
  <c r="B153" i="10" s="1"/>
  <c r="F15" i="3"/>
  <c r="F16" i="3" s="1"/>
  <c r="F17" i="3" s="1"/>
  <c r="F18" i="3" s="1"/>
  <c r="F19" i="3" s="1"/>
  <c r="F20" i="3" s="1"/>
  <c r="F21" i="3" s="1"/>
  <c r="F22" i="3" s="1"/>
  <c r="F23" i="3" s="1"/>
  <c r="AJ22" i="7"/>
  <c r="AJ18" i="7"/>
  <c r="AJ19" i="7" s="1"/>
  <c r="B15" i="5" s="1"/>
  <c r="B13" i="5" l="1"/>
  <c r="AJ27" i="7"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2" i="4"/>
  <c r="B60" i="5"/>
  <c r="B22" i="5" l="1"/>
  <c r="A134" i="10"/>
  <c r="A133" i="10"/>
  <c r="A132" i="10"/>
  <c r="A131" i="10"/>
  <c r="A130" i="10"/>
  <c r="A129" i="10"/>
  <c r="A128" i="10"/>
  <c r="A127" i="10"/>
  <c r="A126" i="10"/>
  <c r="A125" i="10"/>
  <c r="A124" i="10"/>
  <c r="A123" i="10"/>
  <c r="A122" i="10"/>
  <c r="A121" i="10"/>
  <c r="A32" i="10"/>
  <c r="A33" i="10"/>
  <c r="A34" i="10"/>
  <c r="A35" i="10"/>
  <c r="A36" i="10"/>
  <c r="A37" i="10"/>
  <c r="A38" i="10"/>
  <c r="A39" i="10"/>
  <c r="A40" i="10"/>
  <c r="A41" i="10"/>
  <c r="A42" i="10"/>
  <c r="A43" i="10"/>
  <c r="A44" i="10"/>
  <c r="A45" i="10"/>
  <c r="A46" i="10"/>
  <c r="A47" i="10"/>
  <c r="A48" i="10"/>
  <c r="A49" i="10"/>
  <c r="A50" i="10"/>
  <c r="A51" i="10"/>
  <c r="A31" i="10"/>
  <c r="B12" i="10"/>
  <c r="T169" i="10" s="1"/>
  <c r="B11" i="10"/>
  <c r="C20" i="5" a="1"/>
  <c r="C20" i="5" s="1"/>
  <c r="C11" i="10" s="1"/>
  <c r="C21" i="5" a="1"/>
  <c r="C21" i="5" s="1"/>
  <c r="C12" i="10" s="1"/>
  <c r="B7" i="10"/>
  <c r="D60" i="5"/>
  <c r="B51" i="10" s="1"/>
  <c r="K155" i="10" s="1"/>
  <c r="B141" i="10" s="1"/>
  <c r="B91" i="5" s="1"/>
  <c r="DN25" i="7" s="1"/>
  <c r="B17" i="5"/>
  <c r="B8" i="10" s="1"/>
  <c r="B4" i="10"/>
  <c r="A6" i="10"/>
  <c r="B5" i="10"/>
  <c r="A5" i="10"/>
  <c r="A4" i="10"/>
  <c r="B3" i="10"/>
  <c r="A3" i="10"/>
  <c r="B17" i="10"/>
  <c r="AI158" i="10" s="1"/>
  <c r="C28" i="5"/>
  <c r="B18" i="10" s="1"/>
  <c r="W161" i="10" s="1"/>
  <c r="C29" i="5"/>
  <c r="B19" i="10" s="1"/>
  <c r="W164" i="10" s="1"/>
  <c r="C30" i="5"/>
  <c r="B20" i="10" s="1"/>
  <c r="W163" i="10" s="1"/>
  <c r="C31" i="5"/>
  <c r="B21" i="10" s="1"/>
  <c r="W160" i="10" s="1"/>
  <c r="B22" i="10"/>
  <c r="B23" i="10"/>
  <c r="B24" i="10"/>
  <c r="B25" i="10"/>
  <c r="E164" i="10" s="1"/>
  <c r="B26" i="10"/>
  <c r="E161" i="10" s="1"/>
  <c r="B27" i="10"/>
  <c r="E163" i="10" s="1"/>
  <c r="C26" i="5"/>
  <c r="B16" i="10" s="1"/>
  <c r="W162" i="10" s="1"/>
  <c r="B54" i="10"/>
  <c r="B51" i="5"/>
  <c r="B45" i="5"/>
  <c r="B44" i="5"/>
  <c r="B43" i="5"/>
  <c r="B42" i="5"/>
  <c r="B41" i="5"/>
  <c r="C6" i="5" a="1"/>
  <c r="C6" i="5" s="1"/>
  <c r="C7" i="5" a="1"/>
  <c r="C7" i="5" s="1"/>
  <c r="C8" i="5" a="1"/>
  <c r="C8" i="5" s="1"/>
  <c r="C9" i="5" a="1"/>
  <c r="C9" i="5" s="1"/>
  <c r="C12" i="5" a="1"/>
  <c r="C12" i="5" s="1"/>
  <c r="C3" i="10" s="1"/>
  <c r="C14" i="5" a="1"/>
  <c r="C14" i="5" s="1"/>
  <c r="C5" i="10" s="1"/>
  <c r="C16" i="5" a="1"/>
  <c r="C16" i="5" s="1"/>
  <c r="C7" i="10" s="1"/>
  <c r="C18" i="5" a="1"/>
  <c r="C18" i="5" s="1"/>
  <c r="C9" i="10" s="1"/>
  <c r="AJ23" i="7"/>
  <c r="B19" i="5" s="1"/>
  <c r="B10" i="10" s="1"/>
  <c r="A107" i="10"/>
  <c r="A108" i="10"/>
  <c r="A109" i="10"/>
  <c r="A110" i="10"/>
  <c r="A111" i="10"/>
  <c r="A112" i="10"/>
  <c r="A113" i="10"/>
  <c r="A114" i="10"/>
  <c r="A115" i="10"/>
  <c r="A116" i="10"/>
  <c r="A117" i="10"/>
  <c r="A118" i="10"/>
  <c r="A119" i="10"/>
  <c r="A120" i="10"/>
  <c r="B6" i="10"/>
  <c r="H156" i="10" l="1"/>
  <c r="E162" i="10"/>
  <c r="B156" i="10"/>
  <c r="W165" i="10"/>
  <c r="B78" i="5"/>
  <c r="B52" i="10" s="1"/>
  <c r="E158" i="10" s="1"/>
  <c r="E156" i="10"/>
  <c r="W155" i="10"/>
  <c r="B46" i="5"/>
  <c r="B47" i="5"/>
  <c r="B48" i="5"/>
  <c r="B49" i="5"/>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59" i="10" l="1"/>
  <c r="A60" i="10"/>
  <c r="A61" i="10"/>
  <c r="A62" i="10"/>
  <c r="A63" i="10"/>
  <c r="A64" i="10"/>
  <c r="A65" i="10"/>
  <c r="A66" i="10"/>
  <c r="A67" i="10"/>
  <c r="A68" i="10"/>
  <c r="A69" i="10"/>
  <c r="A70" i="10"/>
  <c r="A71" i="10"/>
  <c r="A72" i="10"/>
  <c r="A73" i="10"/>
  <c r="A74" i="10"/>
  <c r="A75" i="10"/>
  <c r="A76" i="10"/>
  <c r="A77" i="10"/>
  <c r="A78" i="10"/>
  <c r="A79" i="10"/>
  <c r="A57" i="10"/>
  <c r="A58" i="10"/>
  <c r="C3" i="11" l="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2" i="11"/>
  <c r="B55" i="5"/>
  <c r="B57" i="5"/>
  <c r="B58" i="5"/>
  <c r="B40" i="5"/>
  <c r="D40" i="5" l="1"/>
  <c r="B79" i="5" l="1"/>
  <c r="B53" i="10" s="1"/>
  <c r="B31" i="10"/>
  <c r="E159" i="10" l="1"/>
  <c r="AI156" i="10"/>
  <c r="C43" i="5"/>
  <c r="CB20" i="7" s="1"/>
  <c r="AC162" i="10"/>
  <c r="AC163" i="10"/>
  <c r="B149" i="10" l="1"/>
  <c r="B99" i="5" s="1"/>
  <c r="DN33" i="7" s="1"/>
  <c r="B13" i="8" s="1"/>
  <c r="D43" i="5"/>
  <c r="C56" i="5" s="1"/>
  <c r="B5" i="8"/>
  <c r="B34" i="10" l="1"/>
  <c r="D56" i="5"/>
  <c r="B47" i="10" s="1"/>
  <c r="C58" i="5"/>
  <c r="CB26" i="7" s="1"/>
  <c r="C5" i="5" a="1"/>
  <c r="C5" i="5" s="1"/>
  <c r="B10" i="5" s="1"/>
  <c r="B70" i="5" l="1"/>
  <c r="B75" i="5"/>
  <c r="B68" i="5"/>
  <c r="B69" i="5"/>
  <c r="B82" i="5"/>
  <c r="B74" i="5"/>
  <c r="B73" i="5"/>
  <c r="B67" i="5"/>
  <c r="B83" i="5"/>
  <c r="B63" i="5"/>
  <c r="B66" i="5"/>
  <c r="B77" i="5"/>
  <c r="B81" i="5"/>
  <c r="B76" i="5"/>
  <c r="B72" i="5"/>
  <c r="B65" i="5"/>
  <c r="B64" i="5"/>
  <c r="B71" i="5"/>
  <c r="D58" i="5"/>
  <c r="B49" i="10" s="1"/>
  <c r="B11" i="5"/>
  <c r="B2" i="10" s="1"/>
  <c r="C41" i="5" l="1"/>
  <c r="B133" i="10"/>
  <c r="B134" i="10"/>
  <c r="B126" i="10"/>
  <c r="B127" i="10"/>
  <c r="B128" i="10"/>
  <c r="B129" i="10"/>
  <c r="B130" i="10"/>
  <c r="B131" i="10"/>
  <c r="B132" i="10"/>
  <c r="B121" i="10"/>
  <c r="B122" i="10"/>
  <c r="B123" i="10"/>
  <c r="B124" i="10"/>
  <c r="B125" i="10"/>
  <c r="B64" i="10"/>
  <c r="B76" i="10"/>
  <c r="B88" i="10"/>
  <c r="AC155" i="10" s="1"/>
  <c r="B100" i="10"/>
  <c r="B112" i="10"/>
  <c r="B118" i="10"/>
  <c r="B65" i="10"/>
  <c r="B77" i="10"/>
  <c r="B89" i="10"/>
  <c r="AC156" i="10" s="1"/>
  <c r="B101" i="10"/>
  <c r="B66" i="10"/>
  <c r="B78" i="10"/>
  <c r="B90" i="10"/>
  <c r="AC157" i="10" s="1"/>
  <c r="B102" i="10"/>
  <c r="B107" i="10"/>
  <c r="B113" i="10"/>
  <c r="B119" i="10"/>
  <c r="B67" i="10"/>
  <c r="B79" i="10"/>
  <c r="B91" i="10"/>
  <c r="B103" i="10"/>
  <c r="B68" i="10"/>
  <c r="B80" i="10"/>
  <c r="T162" i="10" s="1"/>
  <c r="B92" i="10"/>
  <c r="AC164" i="10" s="1"/>
  <c r="B104" i="10"/>
  <c r="B108" i="10"/>
  <c r="B114" i="10"/>
  <c r="B120" i="10"/>
  <c r="B69" i="10"/>
  <c r="B81" i="10"/>
  <c r="T163" i="10" s="1"/>
  <c r="B93" i="10"/>
  <c r="AC165" i="10" s="1"/>
  <c r="B105" i="10"/>
  <c r="B58" i="10"/>
  <c r="B70" i="10"/>
  <c r="B82" i="10"/>
  <c r="T164" i="10" s="1"/>
  <c r="B94" i="10"/>
  <c r="AC166" i="10" s="1"/>
  <c r="B106" i="10"/>
  <c r="B109" i="10"/>
  <c r="B115" i="10"/>
  <c r="B59" i="10"/>
  <c r="B71" i="10"/>
  <c r="B83" i="10"/>
  <c r="T165" i="10" s="1"/>
  <c r="B95" i="10"/>
  <c r="W156" i="10" s="1"/>
  <c r="B57" i="10"/>
  <c r="B60" i="10"/>
  <c r="B72" i="10"/>
  <c r="B84" i="10"/>
  <c r="T166" i="10" s="1"/>
  <c r="B96" i="10"/>
  <c r="W157" i="10" s="1"/>
  <c r="B110" i="10"/>
  <c r="B116" i="10"/>
  <c r="B61" i="10"/>
  <c r="B73" i="10"/>
  <c r="B162" i="10" s="1"/>
  <c r="B85" i="10"/>
  <c r="B97" i="10"/>
  <c r="W158" i="10" s="1"/>
  <c r="B62" i="10"/>
  <c r="B74" i="10"/>
  <c r="B86" i="10"/>
  <c r="B98" i="10"/>
  <c r="B111" i="10"/>
  <c r="B117" i="10"/>
  <c r="B63" i="10"/>
  <c r="Q159" i="10" s="1"/>
  <c r="B75" i="10"/>
  <c r="B87" i="10"/>
  <c r="T168" i="10" s="1"/>
  <c r="B99" i="10"/>
  <c r="C42" i="5"/>
  <c r="CB19" i="7" s="1"/>
  <c r="C44" i="5" l="1"/>
  <c r="T167" i="10"/>
  <c r="D42" i="5"/>
  <c r="C53" i="5" s="1"/>
  <c r="D44" i="5" l="1"/>
  <c r="B35" i="10" s="1"/>
  <c r="AF171" i="10" s="1"/>
  <c r="CB21" i="7"/>
  <c r="D41" i="5"/>
  <c r="C54" i="5" s="1"/>
  <c r="D54" i="5" s="1"/>
  <c r="B45" i="10" s="1"/>
  <c r="B161" i="10" s="1"/>
  <c r="CB18" i="7"/>
  <c r="C52" i="5"/>
  <c r="C51" i="5" s="1"/>
  <c r="CB23" i="7" s="1"/>
  <c r="B33" i="10"/>
  <c r="D53" i="5"/>
  <c r="B44" i="10" s="1"/>
  <c r="AF166" i="10" l="1"/>
  <c r="AF172" i="10"/>
  <c r="E157" i="10"/>
  <c r="AF160" i="10"/>
  <c r="AF165" i="10"/>
  <c r="T159" i="10"/>
  <c r="B32" i="10"/>
  <c r="H155" i="10" s="1"/>
  <c r="B140" i="10" s="1"/>
  <c r="Q157" i="10"/>
  <c r="AF159" i="10"/>
  <c r="B159" i="10"/>
  <c r="C55" i="5"/>
  <c r="C57" i="5"/>
  <c r="C59" i="5"/>
  <c r="B160" i="10"/>
  <c r="D52" i="5"/>
  <c r="B43" i="10" s="1"/>
  <c r="T158" i="10"/>
  <c r="Q158" i="10"/>
  <c r="Q156" i="10"/>
  <c r="T161" i="10"/>
  <c r="D51" i="5"/>
  <c r="W166" i="10" l="1"/>
  <c r="AL155" i="10"/>
  <c r="D59" i="5"/>
  <c r="B50" i="10" s="1"/>
  <c r="AC158" i="10" s="1"/>
  <c r="D57" i="5"/>
  <c r="B48" i="10" s="1"/>
  <c r="CB25" i="7"/>
  <c r="D55" i="5"/>
  <c r="B46" i="10" s="1"/>
  <c r="CB24" i="7"/>
  <c r="B90" i="5"/>
  <c r="DN24" i="7" s="1"/>
  <c r="B42" i="10"/>
  <c r="AF175" i="10" l="1"/>
  <c r="E165" i="10"/>
  <c r="AF174" i="10"/>
  <c r="AL156" i="10"/>
  <c r="AF167" i="10"/>
  <c r="AF173" i="10"/>
  <c r="N156" i="10"/>
  <c r="B142" i="10" s="1"/>
  <c r="AF158" i="10"/>
  <c r="AF170" i="10"/>
  <c r="AF164" i="10"/>
  <c r="AF155" i="10"/>
  <c r="AF161" i="10"/>
  <c r="C45" i="5"/>
  <c r="D45" i="5" s="1"/>
  <c r="C47" i="5" s="1"/>
  <c r="D47" i="5" s="1"/>
  <c r="B38" i="10" s="1"/>
  <c r="T155" i="10" s="1"/>
  <c r="AC159" i="10"/>
  <c r="B4" i="8"/>
  <c r="AF156" i="10"/>
  <c r="AF162" i="10"/>
  <c r="AF168" i="10"/>
  <c r="B158" i="10"/>
  <c r="B157" i="10"/>
  <c r="AC161" i="10"/>
  <c r="W159" i="10"/>
  <c r="T160" i="10"/>
  <c r="B92" i="5" l="1"/>
  <c r="DN26" i="7" s="1"/>
  <c r="B6" i="8" s="1"/>
  <c r="B150" i="10"/>
  <c r="B100" i="5" s="1"/>
  <c r="DN34" i="7" s="1"/>
  <c r="CB22" i="7"/>
  <c r="C46" i="5"/>
  <c r="D46" i="5" s="1"/>
  <c r="B37" i="10" s="1"/>
  <c r="C49" i="5"/>
  <c r="C48" i="5"/>
  <c r="D48" i="5" s="1"/>
  <c r="B39" i="10" s="1"/>
  <c r="B36" i="10"/>
  <c r="AF169" i="10" s="1"/>
  <c r="C50" i="5"/>
  <c r="D50" i="5" s="1"/>
  <c r="B41" i="10" s="1"/>
  <c r="Z155" i="10" s="1"/>
  <c r="B146" i="10" s="1"/>
  <c r="B96" i="5" s="1"/>
  <c r="DN30" i="7" s="1"/>
  <c r="D49" i="5" l="1"/>
  <c r="B40" i="10" s="1"/>
  <c r="E160" i="10" s="1"/>
  <c r="E155" i="10"/>
  <c r="B155" i="10"/>
  <c r="T156" i="10"/>
  <c r="AF163" i="10"/>
  <c r="AC160" i="10"/>
  <c r="AF157" i="10"/>
  <c r="Q155" i="10"/>
  <c r="B143" i="10" s="1"/>
  <c r="B93" i="5" s="1"/>
  <c r="DN27" i="7" s="1"/>
  <c r="B7" i="8" s="1"/>
  <c r="B10" i="8"/>
  <c r="B14" i="8"/>
  <c r="T157" i="10" l="1"/>
  <c r="B144" i="10" s="1"/>
  <c r="B94" i="5" s="1"/>
  <c r="DN28" i="7" s="1"/>
  <c r="B8" i="8" s="1"/>
  <c r="B139" i="10"/>
  <c r="B89" i="5" s="1"/>
  <c r="DN23" i="7" s="1"/>
  <c r="B3" i="8" s="1"/>
  <c r="B148" i="10"/>
  <c r="B98" i="5" s="1"/>
  <c r="DN32" i="7" s="1"/>
  <c r="B12" i="8" s="1"/>
  <c r="B147" i="10"/>
  <c r="B97" i="5" s="1"/>
  <c r="DN31" i="7" s="1"/>
  <c r="B11" i="8" s="1"/>
  <c r="B138" i="10"/>
  <c r="B88" i="5" s="1"/>
  <c r="DN22" i="7" s="1"/>
  <c r="B2" i="8" s="1"/>
  <c r="W167" i="10"/>
  <c r="B145" i="10" s="1"/>
  <c r="B95" i="5" s="1"/>
  <c r="DN29" i="7" s="1"/>
  <c r="B9" i="8" s="1"/>
  <c r="DN35" i="7" l="1"/>
  <c r="DT35" i="7" s="1"/>
  <c r="DU4" i="7"/>
  <c r="F6" i="8"/>
  <c r="F13" i="8"/>
  <c r="F4" i="8"/>
  <c r="F9" i="8"/>
  <c r="F10" i="8"/>
  <c r="F14" i="8"/>
  <c r="F7" i="8"/>
  <c r="F12" i="8"/>
  <c r="F2" i="8"/>
  <c r="F5" i="8"/>
  <c r="F8" i="8"/>
  <c r="F11" i="8"/>
  <c r="F3" i="8"/>
  <c r="E14" i="8" l="1"/>
  <c r="H14" i="8"/>
  <c r="E4" i="8"/>
  <c r="H4" i="8" s="1"/>
  <c r="E13" i="8"/>
  <c r="H13" i="8" s="1"/>
  <c r="E7" i="8"/>
  <c r="H7" i="8" s="1"/>
  <c r="E10" i="8"/>
  <c r="H10" i="8" s="1"/>
  <c r="E6" i="8"/>
  <c r="H6" i="8" s="1"/>
  <c r="E5" i="8"/>
  <c r="H5" i="8" s="1"/>
  <c r="E12" i="8"/>
  <c r="H12" i="8" s="1"/>
  <c r="E3" i="8"/>
  <c r="H3" i="8" s="1"/>
  <c r="E11" i="8"/>
  <c r="H11" i="8" s="1"/>
  <c r="E9" i="8"/>
  <c r="H9" i="8" s="1"/>
  <c r="E8" i="8"/>
  <c r="H8" i="8" s="1"/>
  <c r="E2" i="8"/>
  <c r="H2" i="8" s="1"/>
  <c r="DT28" i="7"/>
  <c r="DT30" i="7"/>
  <c r="DT29" i="7"/>
  <c r="DT23" i="7"/>
  <c r="DT26" i="7"/>
  <c r="DT24" i="7"/>
  <c r="DT27" i="7"/>
  <c r="DT34" i="7"/>
  <c r="DT33" i="7"/>
  <c r="DT31" i="7"/>
  <c r="DT22" i="7"/>
  <c r="DT32" i="7"/>
  <c r="DT25" i="7"/>
  <c r="L6" i="8" l="1"/>
  <c r="N2" i="8"/>
  <c r="K3" i="8"/>
  <c r="I6" i="8"/>
  <c r="K4" i="8"/>
  <c r="M4" i="8"/>
  <c r="I2" i="8"/>
  <c r="I5" i="8"/>
  <c r="J4" i="8"/>
  <c r="N6" i="8"/>
  <c r="L3" i="8"/>
  <c r="N3" i="8"/>
  <c r="M3" i="8"/>
  <c r="M6" i="8"/>
  <c r="M5" i="8"/>
  <c r="K6" i="8"/>
  <c r="M2" i="8"/>
  <c r="K2" i="8"/>
  <c r="I3" i="8"/>
  <c r="N5" i="8"/>
  <c r="I4" i="8"/>
  <c r="L5" i="8"/>
  <c r="L4" i="8"/>
  <c r="J6" i="8"/>
  <c r="J3" i="8"/>
  <c r="J5" i="8"/>
  <c r="N4" i="8"/>
  <c r="K5" i="8"/>
  <c r="J2" i="8"/>
  <c r="L2" i="8"/>
  <c r="L7" i="8" l="1"/>
  <c r="K7" i="8"/>
  <c r="J7" i="8"/>
  <c r="N7" i="8"/>
  <c r="M7" i="8"/>
  <c r="I7" i="8"/>
  <c r="I8" i="8" l="1"/>
  <c r="N8" i="8"/>
  <c r="M8" i="8"/>
  <c r="J8" i="8"/>
  <c r="K8" i="8"/>
  <c r="L8" i="8"/>
  <c r="J9" i="8" l="1"/>
  <c r="L9" i="8"/>
  <c r="K9" i="8"/>
  <c r="I9" i="8"/>
  <c r="M9" i="8"/>
  <c r="N9" i="8"/>
  <c r="J10" i="8" l="1"/>
  <c r="N10" i="8"/>
  <c r="I10" i="8"/>
  <c r="K10" i="8"/>
  <c r="L10" i="8"/>
  <c r="M10" i="8"/>
  <c r="L11" i="8" l="1"/>
  <c r="M11" i="8"/>
  <c r="K11" i="8"/>
  <c r="J11" i="8"/>
  <c r="I11" i="8"/>
  <c r="N11" i="8"/>
  <c r="I12" i="8" l="1"/>
  <c r="L12" i="8"/>
  <c r="N12" i="8"/>
  <c r="J12" i="8"/>
  <c r="K12" i="8"/>
  <c r="M12" i="8"/>
  <c r="L13" i="8" l="1"/>
  <c r="J13" i="8"/>
  <c r="N13" i="8"/>
  <c r="I13" i="8"/>
  <c r="M13" i="8"/>
  <c r="K13" i="8"/>
  <c r="L14" i="8" l="1"/>
  <c r="I14" i="8"/>
  <c r="M14" i="8"/>
  <c r="J14" i="8"/>
  <c r="N14" i="8"/>
  <c r="K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Tuomas Laitinen</author>
  </authors>
  <commentList>
    <comment ref="CH9" authorId="0" shapeId="0" xr:uid="{C54E8678-9BED-401C-9C42-7AD8DEF7C589}">
      <text>
        <r>
          <rPr>
            <b/>
            <sz val="14"/>
            <color indexed="81"/>
            <rFont val="Calibri"/>
            <family val="2"/>
            <scheme val="major"/>
          </rPr>
          <t>Ohje:</t>
        </r>
        <r>
          <rPr>
            <sz val="14"/>
            <color indexed="81"/>
            <rFont val="Calibri"/>
            <family val="2"/>
            <scheme val="major"/>
          </rPr>
          <t xml:space="preserve">
Syötä rakennuksen kokonaisala. Kerrosten yhteenlaskettu pinta-ala lasketaan ulkoseinien ulkopinnan mukaan laskettuna.</t>
        </r>
      </text>
    </comment>
    <comment ref="CH10" authorId="0" shapeId="0" xr:uid="{3F45EFDA-1CB6-46F5-9461-2F95B9DB2598}">
      <text>
        <r>
          <rPr>
            <b/>
            <sz val="14"/>
            <color indexed="81"/>
            <rFont val="Calibri"/>
            <family val="2"/>
            <scheme val="major"/>
          </rPr>
          <t>Ohje:</t>
        </r>
        <r>
          <rPr>
            <sz val="14"/>
            <color indexed="81"/>
            <rFont val="Calibri"/>
            <family val="2"/>
            <scheme val="major"/>
          </rPr>
          <t xml:space="preserve">
Purkuhankkeen yhteydessä piha-alueelta tai esimerkiksi autotallista purettavan asfaltin pinta-ala.</t>
        </r>
      </text>
    </comment>
    <comment ref="AN14" authorId="0" shapeId="0" xr:uid="{ED777575-A0F7-40CA-91C8-502D47FB3B1C}">
      <text>
        <r>
          <rPr>
            <b/>
            <sz val="14"/>
            <color indexed="81"/>
            <rFont val="Calibri"/>
            <family val="2"/>
            <scheme val="major"/>
          </rPr>
          <t>Ohje:</t>
        </r>
        <r>
          <rPr>
            <sz val="14"/>
            <color indexed="81"/>
            <rFont val="Calibri"/>
            <family val="2"/>
            <scheme val="major"/>
          </rPr>
          <t xml:space="preserve">
Valitse rakennuksen käyttötarkoitus</t>
        </r>
      </text>
    </comment>
    <comment ref="AN15" authorId="0" shapeId="0" xr:uid="{2B4DE4A0-25BD-4BAE-B361-FEC274EF55A8}">
      <text>
        <r>
          <rPr>
            <b/>
            <sz val="14"/>
            <color indexed="81"/>
            <rFont val="Calibri"/>
            <family val="2"/>
            <scheme val="major"/>
          </rPr>
          <t>Ohje:</t>
        </r>
        <r>
          <rPr>
            <sz val="14"/>
            <color indexed="81"/>
            <rFont val="Calibri"/>
            <family val="2"/>
            <scheme val="major"/>
          </rPr>
          <t xml:space="preserve">
Valitse rakennuksen alkuperäinen valmistumisvuosi.</t>
        </r>
      </text>
    </comment>
    <comment ref="AN17" authorId="0" shapeId="0" xr:uid="{D6317D2D-7F89-488A-BF53-B95BAC4F532C}">
      <text>
        <r>
          <rPr>
            <b/>
            <sz val="14"/>
            <color indexed="81"/>
            <rFont val="Calibri"/>
            <family val="2"/>
            <scheme val="major"/>
          </rPr>
          <t>Ohje:</t>
        </r>
        <r>
          <rPr>
            <sz val="14"/>
            <color indexed="81"/>
            <rFont val="Calibri"/>
            <family val="2"/>
            <scheme val="major"/>
          </rPr>
          <t xml:space="preserve">
Rakennuksen pääasiallinen runkomateriaali, jota on enemmän kuin 50 % rakennuksen rungon pinta-alasta. Arvioi pääasiallisen runkomateriaalin osuus alapuolella olevalla liukukytkimellä.</t>
        </r>
      </text>
    </comment>
    <comment ref="AN18" authorId="0" shapeId="0" xr:uid="{E7517F10-4D4F-41BA-A16C-89CF75F28018}">
      <text>
        <r>
          <rPr>
            <b/>
            <sz val="14"/>
            <color indexed="81"/>
            <rFont val="Calibri"/>
            <family val="2"/>
            <scheme val="major"/>
          </rPr>
          <t xml:space="preserve">Ohje: 
</t>
        </r>
        <r>
          <rPr>
            <sz val="14"/>
            <color indexed="81"/>
            <rFont val="Calibri"/>
            <family val="2"/>
            <scheme val="major"/>
          </rPr>
          <t xml:space="preserve">Voit liu'uttaa kytkintä hiirellä tai painamalla nuolia laidassa. </t>
        </r>
      </text>
    </comment>
    <comment ref="CH18" authorId="0" shapeId="0" xr:uid="{E8FDF0B2-D0C7-4A75-8D11-944EC11E1DEC}">
      <text>
        <r>
          <rPr>
            <b/>
            <sz val="14"/>
            <color indexed="81"/>
            <rFont val="Calibri"/>
            <family val="2"/>
            <scheme val="major"/>
          </rPr>
          <t>Ohje:</t>
        </r>
        <r>
          <rPr>
            <sz val="14"/>
            <color indexed="81"/>
            <rFont val="Calibri"/>
            <family val="2"/>
            <scheme val="major"/>
          </rPr>
          <t xml:space="preserve">
Rakennuksen vaipan rajoittama rakennuksen tilavuus. Syötä todellinen tieto, mikäli se on tiedossa.</t>
        </r>
      </text>
    </comment>
    <comment ref="AN19" authorId="0" shapeId="0" xr:uid="{D4AABCA5-E397-4B6C-9C6C-801FB136A66C}">
      <text>
        <r>
          <rPr>
            <b/>
            <sz val="14"/>
            <color indexed="81"/>
            <rFont val="Calibri"/>
            <family val="2"/>
            <scheme val="major"/>
          </rPr>
          <t>Ohje:</t>
        </r>
        <r>
          <rPr>
            <sz val="14"/>
            <color indexed="81"/>
            <rFont val="Calibri"/>
            <family val="2"/>
            <scheme val="major"/>
          </rPr>
          <t xml:space="preserve">
Rakennuksen toissijainen runkomateriaali, jota on vähemmän kuin 50 % rakennuksen rungon pinta-alasta. </t>
        </r>
      </text>
    </comment>
    <comment ref="CH19" authorId="0" shapeId="0" xr:uid="{A82CCA65-06B3-459A-8864-9D24CCAE3246}">
      <text>
        <r>
          <rPr>
            <b/>
            <sz val="14"/>
            <color indexed="81"/>
            <rFont val="Calibri"/>
            <family val="2"/>
            <scheme val="major"/>
          </rPr>
          <t>Ohje:</t>
        </r>
        <r>
          <rPr>
            <sz val="14"/>
            <color indexed="81"/>
            <rFont val="Calibri"/>
            <family val="2"/>
            <scheme val="major"/>
          </rPr>
          <t xml:space="preserve">
Rakennuksen pohjan pinta-alaan lasketaan rakennuksen katetun osan peittämä maa-ala. Syötä todellinen tieto, mikäli se on tiedossa.</t>
        </r>
      </text>
    </comment>
    <comment ref="CH20" authorId="0" shapeId="0" xr:uid="{CAEE9722-35DA-4D8B-8044-D20329E37A88}">
      <text>
        <r>
          <rPr>
            <b/>
            <sz val="14"/>
            <color indexed="81"/>
            <rFont val="Calibri"/>
            <family val="2"/>
            <scheme val="major"/>
          </rPr>
          <t>Ohje:</t>
        </r>
        <r>
          <rPr>
            <sz val="14"/>
            <color indexed="81"/>
            <rFont val="Calibri"/>
            <family val="2"/>
            <scheme val="major"/>
          </rPr>
          <t xml:space="preserve">
Pääasiallisesti maan pinnan alapuolella olevan kellarin pinta-ala. Syötä todellinen tieto, mikäli se on tiedossa.</t>
        </r>
      </text>
    </comment>
    <comment ref="AN21" authorId="0" shapeId="0" xr:uid="{1C470159-0948-474B-BA08-B66072D838FB}">
      <text>
        <r>
          <rPr>
            <b/>
            <sz val="14"/>
            <color indexed="81"/>
            <rFont val="Calibri"/>
            <family val="2"/>
            <scheme val="major"/>
          </rPr>
          <t>Ohje:</t>
        </r>
        <r>
          <rPr>
            <sz val="14"/>
            <color indexed="81"/>
            <rFont val="Calibri"/>
            <family val="2"/>
            <scheme val="major"/>
          </rPr>
          <t xml:space="preserve">
Rakennuksen pääasiallinen julkisivumateriaali, jota on enemmän kuin 50 % rakennuksen julkisivun pinta-alasta. Arvioi pääasiallisen julkisivumateriaalin osuus alapuolella olevalla liukukytkimellä.</t>
        </r>
      </text>
    </comment>
    <comment ref="CH21" authorId="0" shapeId="0" xr:uid="{9B3774F9-CEE8-4D68-829D-648295458183}">
      <text>
        <r>
          <rPr>
            <b/>
            <sz val="14"/>
            <color indexed="81"/>
            <rFont val="Calibri"/>
            <family val="2"/>
            <scheme val="major"/>
          </rPr>
          <t>Ohje:</t>
        </r>
        <r>
          <rPr>
            <sz val="14"/>
            <color indexed="81"/>
            <rFont val="Calibri"/>
            <family val="2"/>
            <scheme val="major"/>
          </rPr>
          <t xml:space="preserve">
Rakennusten välipohjien bruttoala. Syötä todellinen tieto, mikäli se on tiedossa.</t>
        </r>
      </text>
    </comment>
    <comment ref="AN22" authorId="0" shapeId="0" xr:uid="{968F1F64-8677-4912-92BA-1820B656CA59}">
      <text>
        <r>
          <rPr>
            <b/>
            <sz val="14"/>
            <color indexed="81"/>
            <rFont val="Calibri"/>
            <family val="2"/>
            <scheme val="major"/>
          </rPr>
          <t xml:space="preserve">Ohje: 
</t>
        </r>
        <r>
          <rPr>
            <sz val="14"/>
            <color indexed="81"/>
            <rFont val="Calibri"/>
            <family val="2"/>
            <scheme val="major"/>
          </rPr>
          <t xml:space="preserve">Voit liu'uttaa kytkintä hiirellä tai painamalla nuolia laidassa. </t>
        </r>
      </text>
    </comment>
    <comment ref="CH22" authorId="0" shapeId="0" xr:uid="{20BCFCC9-3132-4627-992D-AA92EE3BD759}">
      <text>
        <r>
          <rPr>
            <b/>
            <sz val="14"/>
            <color indexed="81"/>
            <rFont val="Calibri"/>
            <family val="2"/>
            <scheme val="major"/>
          </rPr>
          <t>Ohje:</t>
        </r>
        <r>
          <rPr>
            <sz val="14"/>
            <color indexed="81"/>
            <rFont val="Calibri"/>
            <family val="2"/>
            <scheme val="major"/>
          </rPr>
          <t xml:space="preserve">
Rakennuksen julkisivun pinta-ala mukaan lukien ikkunoiden ja ovien pinta-ala. Syötä todellinen tieto, mikäli se on tiedossa.</t>
        </r>
      </text>
    </comment>
    <comment ref="DJ22" authorId="0" shapeId="0" xr:uid="{0E5C84EF-FAD2-484E-AB46-0421F2620F30}">
      <text>
        <r>
          <rPr>
            <b/>
            <sz val="14"/>
            <color indexed="81"/>
            <rFont val="Calibri"/>
            <family val="2"/>
            <scheme val="major"/>
          </rPr>
          <t>Määrittely:</t>
        </r>
        <r>
          <rPr>
            <sz val="14"/>
            <color indexed="81"/>
            <rFont val="Calibri"/>
            <family val="2"/>
            <scheme val="major"/>
          </rPr>
          <t xml:space="preserve">
Massaan lasketaan mukaan perustuksissa, lattiassa, rungossa oleva betoni. Betoni sisältää myös betonipinnan tasoitteet ja rappauksen. 
Vanhoissa rakennuksissa on paljon myös luonnokiviperustuksia. Nämä luonnonkiviperustukset tulkitaan betoniksi.
</t>
        </r>
      </text>
    </comment>
    <comment ref="AN23" authorId="0" shapeId="0" xr:uid="{D3A90B18-2461-479F-8539-83CE43BF1F8F}">
      <text>
        <r>
          <rPr>
            <b/>
            <sz val="14"/>
            <color indexed="81"/>
            <rFont val="Calibri"/>
            <family val="2"/>
            <scheme val="major"/>
          </rPr>
          <t>Ohje:</t>
        </r>
        <r>
          <rPr>
            <sz val="14"/>
            <color indexed="81"/>
            <rFont val="Calibri"/>
            <family val="2"/>
            <scheme val="major"/>
          </rPr>
          <t xml:space="preserve">
Rakennuksen toissijainen julkisivumateriaali, jota on vähemmän kuin 50 % rakennuksen rungon pinta-alasta. </t>
        </r>
      </text>
    </comment>
    <comment ref="CH23" authorId="0" shapeId="0" xr:uid="{E54FC1C9-4BD5-4270-B0F6-4D4F80A988DF}">
      <text>
        <r>
          <rPr>
            <b/>
            <sz val="14"/>
            <color indexed="81"/>
            <rFont val="Calibri"/>
            <family val="2"/>
            <scheme val="major"/>
          </rPr>
          <t>Ohje:</t>
        </r>
        <r>
          <rPr>
            <sz val="14"/>
            <color indexed="81"/>
            <rFont val="Calibri"/>
            <family val="2"/>
            <scheme val="major"/>
          </rPr>
          <t xml:space="preserve">
Rakennuksen katon pinta-ala. Syötä todellinen tieto, mikäli se on tiedossa.</t>
        </r>
      </text>
    </comment>
    <comment ref="DJ23" authorId="0" shapeId="0" xr:uid="{30BD295C-0A7A-4053-B70E-0106B04E7E85}">
      <text>
        <r>
          <rPr>
            <b/>
            <sz val="14"/>
            <color indexed="81"/>
            <rFont val="Calibri"/>
            <family val="2"/>
            <scheme val="major"/>
          </rPr>
          <t>Määrittely:</t>
        </r>
        <r>
          <rPr>
            <sz val="14"/>
            <color indexed="81"/>
            <rFont val="Calibri"/>
            <family val="2"/>
            <scheme val="major"/>
          </rPr>
          <t xml:space="preserve">
Tiili sisältää rakennuksen tiili- ja harkkomuuraukset sekä niiden laastin. Tiilen painoon sisältyy myös tiili- ja harkkopintojen tasoitteet. Tiileen sisältyvät myös tiilitakat ja hormit.</t>
        </r>
      </text>
    </comment>
    <comment ref="AN24" authorId="0" shapeId="0" xr:uid="{CC293AE0-0FBA-47BF-ABD2-E523723E3699}">
      <text>
        <r>
          <rPr>
            <b/>
            <sz val="14"/>
            <color indexed="81"/>
            <rFont val="Calibri"/>
            <family val="2"/>
            <scheme val="major"/>
          </rPr>
          <t>Ohje:</t>
        </r>
        <r>
          <rPr>
            <sz val="14"/>
            <color indexed="81"/>
            <rFont val="Calibri"/>
            <family val="2"/>
            <scheme val="major"/>
          </rPr>
          <t xml:space="preserve">
Valitse rakennuksen katon muoto</t>
        </r>
      </text>
    </comment>
    <comment ref="CH24" authorId="0" shapeId="0" xr:uid="{78231025-3E37-41C4-8017-E76EEF7E2466}">
      <text>
        <r>
          <rPr>
            <b/>
            <sz val="14"/>
            <color indexed="81"/>
            <rFont val="Calibri"/>
            <family val="2"/>
            <scheme val="major"/>
          </rPr>
          <t>Ohje:</t>
        </r>
        <r>
          <rPr>
            <sz val="14"/>
            <color indexed="81"/>
            <rFont val="Calibri"/>
            <family val="2"/>
            <scheme val="major"/>
          </rPr>
          <t xml:space="preserve">
Rakennuksen märkätilojen lattia-ala. Syötä todellinen tieto, mikäli se on tiedossa.</t>
        </r>
      </text>
    </comment>
    <comment ref="DJ24" authorId="0" shapeId="0" xr:uid="{B581C527-5FD5-466A-816E-A9AB3E634F9B}">
      <text>
        <r>
          <rPr>
            <b/>
            <sz val="14"/>
            <color indexed="81"/>
            <rFont val="Calibri"/>
            <family val="2"/>
            <scheme val="major"/>
          </rPr>
          <t>Määrittely:</t>
        </r>
        <r>
          <rPr>
            <sz val="14"/>
            <color indexed="81"/>
            <rFont val="Calibri"/>
            <family val="2"/>
            <scheme val="major"/>
          </rPr>
          <t xml:space="preserve">
Kivennäislaatat ja keramiikka sisältävät laattapinnat sekä laattojen kiinnityslaastin ja mahdolliset vedeneristeet.</t>
        </r>
      </text>
    </comment>
    <comment ref="AN25" authorId="0" shapeId="0" xr:uid="{F3FEF444-DDB9-4FAF-BED9-39559001699A}">
      <text>
        <r>
          <rPr>
            <b/>
            <sz val="14"/>
            <color indexed="81"/>
            <rFont val="Calibri"/>
            <family val="2"/>
            <scheme val="major"/>
          </rPr>
          <t>Ohje:</t>
        </r>
        <r>
          <rPr>
            <sz val="14"/>
            <color indexed="81"/>
            <rFont val="Calibri"/>
            <family val="2"/>
            <scheme val="major"/>
          </rPr>
          <t xml:space="preserve">
Valitse rakennuksen vesikattomateriaali (ensisijainen materiaali).</t>
        </r>
      </text>
    </comment>
    <comment ref="CH25" authorId="0" shapeId="0" xr:uid="{69A582DC-4E6D-4D55-904E-5D2C8E8C808E}">
      <text>
        <r>
          <rPr>
            <b/>
            <sz val="14"/>
            <color indexed="81"/>
            <rFont val="Calibri"/>
            <family val="2"/>
            <scheme val="major"/>
          </rPr>
          <t>Ohje:</t>
        </r>
        <r>
          <rPr>
            <sz val="14"/>
            <color indexed="81"/>
            <rFont val="Calibri"/>
            <family val="2"/>
            <scheme val="major"/>
          </rPr>
          <t xml:space="preserve">
Rakennuksen pohjan piiri tarkoittaa rakennuksen pohjapinta-alan ulkorajojen muodostamaa ääriviivaa maan tasolla. Syötä todellinen tieto, mikäli se on tiedossa.</t>
        </r>
      </text>
    </comment>
    <comment ref="DJ25" authorId="0" shapeId="0" xr:uid="{AA747013-9F82-4B73-8DC1-1AEE8B1CC119}">
      <text>
        <r>
          <rPr>
            <b/>
            <sz val="14"/>
            <color indexed="81"/>
            <rFont val="Calibri"/>
            <family val="2"/>
            <scheme val="major"/>
          </rPr>
          <t>Määrittely:</t>
        </r>
        <r>
          <rPr>
            <sz val="14"/>
            <color indexed="81"/>
            <rFont val="Calibri"/>
            <family val="2"/>
            <scheme val="major"/>
          </rPr>
          <t xml:space="preserve">
Asfaltti sisältää käyttäjän erikseen ilmoittaman asfaltoidun alan. Asfaltin paksuudeksi on oletettu 4 cm.
</t>
        </r>
      </text>
    </comment>
    <comment ref="AN26" authorId="0" shapeId="0" xr:uid="{BD27B756-73EA-4EC7-B59C-5B203A5C1F63}">
      <text>
        <r>
          <rPr>
            <b/>
            <sz val="14"/>
            <color indexed="81"/>
            <rFont val="Calibri"/>
            <family val="2"/>
            <scheme val="major"/>
          </rPr>
          <t>Ohje:</t>
        </r>
        <r>
          <rPr>
            <sz val="14"/>
            <color indexed="81"/>
            <rFont val="Calibri"/>
            <family val="2"/>
            <scheme val="major"/>
          </rPr>
          <t xml:space="preserve">
Valitse rakennuksen kerrosten lukumäärä, jotka sijaitsevat kokonaan tai pääasiallisesti maanpinnan yläpuolella.
1,5 krs vaihtoehto kuvaa rakennuksia, joissa on osittainen toinen kerros.</t>
        </r>
      </text>
    </comment>
    <comment ref="CH26" authorId="0" shapeId="0" xr:uid="{043ACD0C-CD6E-4F38-9823-AFFB3122A044}">
      <text>
        <r>
          <rPr>
            <b/>
            <sz val="14"/>
            <color indexed="81"/>
            <rFont val="Calibri"/>
            <family val="2"/>
            <scheme val="major"/>
          </rPr>
          <t>Ohje:</t>
        </r>
        <r>
          <rPr>
            <sz val="14"/>
            <color indexed="81"/>
            <rFont val="Calibri"/>
            <family val="2"/>
            <scheme val="major"/>
          </rPr>
          <t xml:space="preserve">
Kellarin piiri tarkoittaa kellarikerroksen ulkorajojen muodostamaa ääriviivaa maan tasolla tai sen alapuolella.  Syötä todellinen tieto, mikäli se on tiedossa.</t>
        </r>
      </text>
    </comment>
    <comment ref="DJ26" authorId="0" shapeId="0" xr:uid="{FEC6E76C-4753-47AC-9668-0636BFA4028D}">
      <text>
        <r>
          <rPr>
            <b/>
            <sz val="14"/>
            <color indexed="81"/>
            <rFont val="Calibri"/>
            <family val="2"/>
            <scheme val="major"/>
          </rPr>
          <t>Määrittely:</t>
        </r>
        <r>
          <rPr>
            <sz val="14"/>
            <color indexed="81"/>
            <rFont val="Calibri"/>
            <family val="2"/>
            <scheme val="major"/>
          </rPr>
          <t xml:space="preserve">
Bitumi ja kattohuopa sisältää vesikaton bitumikermit.</t>
        </r>
      </text>
    </comment>
    <comment ref="AN27" authorId="0" shapeId="0" xr:uid="{3DC177F0-BDAE-466E-80A6-F49B1C9111FB}">
      <text>
        <r>
          <rPr>
            <b/>
            <sz val="14"/>
            <color indexed="81"/>
            <rFont val="Calibri"/>
            <family val="2"/>
            <scheme val="major"/>
          </rPr>
          <t xml:space="preserve">Ohje: 
</t>
        </r>
        <r>
          <rPr>
            <sz val="14"/>
            <color indexed="81"/>
            <rFont val="Calibri"/>
            <family val="2"/>
            <scheme val="major"/>
          </rPr>
          <t>Voit liu'uttaa kytkintä hiirellä tai painamalla nuolia laidassa. Kellarikerros sijaitsee kokonaan tai pääasiallisesti maanpinnan alapuolella. Mikäli rakennuksessa ei ole kellaria, jätä arvo 0 %:in.</t>
        </r>
      </text>
    </comment>
    <comment ref="DJ27" authorId="0" shapeId="0" xr:uid="{B72BAB90-F2C1-4A42-BA82-5EE160DAF988}">
      <text>
        <r>
          <rPr>
            <b/>
            <sz val="14"/>
            <color indexed="81"/>
            <rFont val="Calibri"/>
            <family val="2"/>
            <scheme val="major"/>
          </rPr>
          <t>Määrittely:</t>
        </r>
        <r>
          <rPr>
            <sz val="14"/>
            <color indexed="81"/>
            <rFont val="Calibri"/>
            <family val="2"/>
            <scheme val="major"/>
          </rPr>
          <t xml:space="preserve">
Kipsi sisältää sisäpintojen kipsilevyt, tuulensuojakipsilevyn ja palonsuojauksessa käytetyn kipsilevyn. Kipsilevyn painoon sisältyy myös kipsilevyn tasoitteet ja pinnoitteet. </t>
        </r>
      </text>
    </comment>
    <comment ref="DJ28" authorId="0" shapeId="0" xr:uid="{BBECCAF9-C4DF-4B39-9FDA-B64CCB06A70C}">
      <text>
        <r>
          <rPr>
            <b/>
            <sz val="14"/>
            <color indexed="81"/>
            <rFont val="Calibri"/>
            <family val="2"/>
            <scheme val="major"/>
          </rPr>
          <t>Määrittely:</t>
        </r>
        <r>
          <rPr>
            <sz val="14"/>
            <color indexed="81"/>
            <rFont val="Calibri"/>
            <family val="2"/>
            <scheme val="major"/>
          </rPr>
          <t xml:space="preserve">
Puupohjaiset tuotteet sisältävät rakennuksen rungon ja julkisivun puun sekä rakenteellisen puutavaran niin ala-, väli- kuin yläpohjissa sekä vesikatoissa. Puu sisältää myös ikkunoiden ja ovien ja portaiden puumateriaalin. Puu ei sisällä rakennuksen ulkopuolisen piha-alueen puurakenteita, kuten patiot ja terassit.</t>
        </r>
      </text>
    </comment>
    <comment ref="DJ29" authorId="0" shapeId="0" xr:uid="{446B0647-2843-49B2-88A1-4B6D376F674A}">
      <text>
        <r>
          <rPr>
            <b/>
            <sz val="14"/>
            <color indexed="81"/>
            <rFont val="Calibri"/>
            <family val="2"/>
            <scheme val="major"/>
          </rPr>
          <t>Määrittely:</t>
        </r>
        <r>
          <rPr>
            <sz val="14"/>
            <color indexed="81"/>
            <rFont val="Calibri"/>
            <family val="2"/>
            <scheme val="major"/>
          </rPr>
          <t xml:space="preserve">
Metalli sisältää kaikki metalliset vesi- ja viemäriputket sekä lämminvesiputket. Metalli sisältää myös kattilalaitteet ja vesikiertoiset patterit sekä muut erikseen määritellyt lämmityslaitteistot. Metalli sisältää betoniraudoitteet, runkoteräksen sekä metallikatteen.</t>
        </r>
      </text>
    </comment>
    <comment ref="AN30" authorId="0" shapeId="0" xr:uid="{60470333-FF4C-4006-B994-80F3441CC49C}">
      <text>
        <r>
          <rPr>
            <b/>
            <sz val="14"/>
            <color indexed="81"/>
            <rFont val="Calibri"/>
            <family val="2"/>
            <scheme val="major"/>
          </rPr>
          <t>Ohje:</t>
        </r>
        <r>
          <rPr>
            <sz val="14"/>
            <color indexed="81"/>
            <rFont val="Calibri"/>
            <family val="2"/>
            <scheme val="major"/>
          </rPr>
          <t xml:space="preserve">
Valitse, mitä rakennuksen lämmitykseen liittyviä järjestelmiä tai laitteita rakennuksessa on (voit valita useita).</t>
        </r>
      </text>
    </comment>
    <comment ref="DJ30" authorId="0" shapeId="0" xr:uid="{0CDC28FE-BFC2-4BF8-AD68-593A3D63EC70}">
      <text>
        <r>
          <rPr>
            <b/>
            <sz val="14"/>
            <color indexed="81"/>
            <rFont val="Calibri"/>
            <family val="2"/>
            <scheme val="major"/>
          </rPr>
          <t>Määrittely:</t>
        </r>
        <r>
          <rPr>
            <sz val="14"/>
            <color indexed="81"/>
            <rFont val="Calibri"/>
            <family val="2"/>
            <scheme val="major"/>
          </rPr>
          <t xml:space="preserve">
Lasi sisältää ikkunoiden ikkunalasit.</t>
        </r>
      </text>
    </comment>
    <comment ref="DJ31" authorId="0" shapeId="0" xr:uid="{986A8E85-AF10-4FCC-B92E-E5A966DFDB77}">
      <text>
        <r>
          <rPr>
            <b/>
            <sz val="14"/>
            <color indexed="81"/>
            <rFont val="Calibri"/>
            <family val="2"/>
            <scheme val="major"/>
          </rPr>
          <t>Määrittely:</t>
        </r>
        <r>
          <rPr>
            <sz val="14"/>
            <color indexed="81"/>
            <rFont val="Calibri"/>
            <family val="2"/>
            <scheme val="major"/>
          </rPr>
          <t xml:space="preserve">
Muovi sisältää talotekniikan muovituotteet kuten sähköpistorasiat ja -kalusteet sekä sähköjohtojen muovin. Lisäksi muoviin kuuluvat muoviset viemäriputket ja vesiputket. Muoviin sisältyy höyrynsulku ja muoviset aluskatteet. Lisäksi muoviin sisltyy muovimatot niin asuintiloissa kuin märkätiloissakin.</t>
        </r>
      </text>
    </comment>
    <comment ref="DJ32" authorId="0" shapeId="0" xr:uid="{0DD9E82C-91E9-4F40-A382-33EC02639A69}">
      <text>
        <r>
          <rPr>
            <b/>
            <sz val="14"/>
            <color indexed="81"/>
            <rFont val="Calibri"/>
            <family val="2"/>
            <scheme val="major"/>
          </rPr>
          <t>Määrittely:</t>
        </r>
        <r>
          <rPr>
            <sz val="14"/>
            <color indexed="81"/>
            <rFont val="Calibri"/>
            <family val="2"/>
            <scheme val="major"/>
          </rPr>
          <t xml:space="preserve">
Eristeisiin sisältyy kaikki eristemateriaalit materiaalista riippumatta. Mineraalivillaeristeet, muovieristeet, puueristeet (sahanpuru ja kutterinlastu), sellueristeet ja kevytsoran.</t>
        </r>
      </text>
    </comment>
    <comment ref="DJ33" authorId="0" shapeId="0" xr:uid="{4EDB7825-514F-480E-B662-161E45B3C452}">
      <text>
        <r>
          <rPr>
            <b/>
            <sz val="14"/>
            <color indexed="81"/>
            <rFont val="Calibri"/>
            <family val="2"/>
            <scheme val="major"/>
          </rPr>
          <t>Määrittely:</t>
        </r>
        <r>
          <rPr>
            <sz val="14"/>
            <color indexed="81"/>
            <rFont val="Calibri"/>
            <family val="2"/>
            <scheme val="major"/>
          </rPr>
          <t xml:space="preserve">
Sähkö ja elektroniikkalaitteisiin kuuluvat sähkökaappi ja rakennukseen sisältyviä laitteita.
</t>
        </r>
      </text>
    </comment>
    <comment ref="DJ34" authorId="0" shapeId="0" xr:uid="{55C3D1BD-54B3-49BB-853D-B3BAC2BE4DE6}">
      <text>
        <r>
          <rPr>
            <b/>
            <sz val="14"/>
            <color indexed="81"/>
            <rFont val="Calibri"/>
            <family val="2"/>
            <scheme val="major"/>
          </rPr>
          <t>Määrittely:</t>
        </r>
        <r>
          <rPr>
            <sz val="14"/>
            <color indexed="81"/>
            <rFont val="Calibri"/>
            <family val="2"/>
            <scheme val="major"/>
          </rPr>
          <t xml:space="preserve">
Sekalainen materiaali koostuu  muusta luokittelemattomasta materiaalista.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futureMetadata>
  <cellMetadata count="1">
    <bk>
      <rc t="1" v="0"/>
    </bk>
  </cellMetadata>
  <valueMetadata count="7">
    <bk>
      <rc t="2" v="0"/>
    </bk>
    <bk>
      <rc t="2" v="1"/>
    </bk>
    <bk>
      <rc t="2" v="2"/>
    </bk>
    <bk>
      <rc t="2" v="3"/>
    </bk>
    <bk>
      <rc t="2" v="4"/>
    </bk>
    <bk>
      <rc t="2" v="5"/>
    </bk>
    <bk>
      <rc t="2" v="6"/>
    </bk>
  </valueMetadata>
</metadata>
</file>

<file path=xl/sharedStrings.xml><?xml version="1.0" encoding="utf-8"?>
<sst xmlns="http://schemas.openxmlformats.org/spreadsheetml/2006/main" count="1131" uniqueCount="427">
  <si>
    <t>Rakennustyyppilistaus</t>
  </si>
  <si>
    <t>Rakennusluokka 1</t>
  </si>
  <si>
    <t>Rakennusluokka 2</t>
  </si>
  <si>
    <t>Rakennusluokka 3</t>
  </si>
  <si>
    <t>Rakennelistaus</t>
  </si>
  <si>
    <t>Rakennetyyppi</t>
  </si>
  <si>
    <t>Betoni</t>
  </si>
  <si>
    <t>Teräs</t>
  </si>
  <si>
    <t>Muu</t>
  </si>
  <si>
    <t>Puu</t>
  </si>
  <si>
    <t>Kattotyyppi</t>
  </si>
  <si>
    <t>Kattotyyppilistaus</t>
  </si>
  <si>
    <t>Tasakatto</t>
  </si>
  <si>
    <t>Kyllä</t>
  </si>
  <si>
    <t>Ei</t>
  </si>
  <si>
    <t>En tiedä</t>
  </si>
  <si>
    <t>Rakennusosa</t>
  </si>
  <si>
    <t>tid</t>
  </si>
  <si>
    <t>regr_k</t>
  </si>
  <si>
    <t>regr_i</t>
  </si>
  <si>
    <t>Kyllä ei</t>
  </si>
  <si>
    <t>Rakennusosamäärät</t>
  </si>
  <si>
    <t>Tilavuus</t>
  </si>
  <si>
    <t>Pohjapiiri</t>
  </si>
  <si>
    <t>Kellaripiiri</t>
  </si>
  <si>
    <t>VälipohjaA</t>
  </si>
  <si>
    <t>KerrosA</t>
  </si>
  <si>
    <t>PohjaA</t>
  </si>
  <si>
    <t>Talotyyppi</t>
  </si>
  <si>
    <t>Talotiedot</t>
  </si>
  <si>
    <t>Kommentti</t>
  </si>
  <si>
    <t>m</t>
  </si>
  <si>
    <t>Yhteensä</t>
  </si>
  <si>
    <t>JulkisivuA</t>
  </si>
  <si>
    <t>KattoATasa</t>
  </si>
  <si>
    <t>KattoAHarja</t>
  </si>
  <si>
    <t>VäliseinäA</t>
  </si>
  <si>
    <t>Kerroslukumäärä</t>
  </si>
  <si>
    <t>LKM</t>
  </si>
  <si>
    <t>MärkätilaA</t>
  </si>
  <si>
    <t>Vuosiluku</t>
  </si>
  <si>
    <t>NurkkaLKM</t>
  </si>
  <si>
    <t>KellariV</t>
  </si>
  <si>
    <t>Rakennuksen tilavuus</t>
  </si>
  <si>
    <t>Rakennuksen kellariala</t>
  </si>
  <si>
    <t>Rakennuksen välipohja-ala</t>
  </si>
  <si>
    <t>Rakennuksen julkisivuala</t>
  </si>
  <si>
    <t>Rakennuksen kattoala</t>
  </si>
  <si>
    <t>Rakennuksen pohja-ala</t>
  </si>
  <si>
    <t>Rakennuksen märkätila-ala</t>
  </si>
  <si>
    <t>Rakennuksen pohjan piiri</t>
  </si>
  <si>
    <t>Rakennuksen kellarin piiri</t>
  </si>
  <si>
    <t xml:space="preserve">*Pakollinen tieto </t>
  </si>
  <si>
    <t>Rakennuksen bruttoala*</t>
  </si>
  <si>
    <t>Työkalun rajaukset</t>
  </si>
  <si>
    <t>Työkalun käyttö</t>
  </si>
  <si>
    <t>Todel-linen</t>
  </si>
  <si>
    <t>Info</t>
  </si>
  <si>
    <t>Työkalun käyttäjän vastuu</t>
  </si>
  <si>
    <t>Yhden asunnon talot</t>
  </si>
  <si>
    <t>Kahden asunnon talot</t>
  </si>
  <si>
    <t>Talousrakennukset</t>
  </si>
  <si>
    <t>Vuokrattavat lomamökit ja -osakkeet</t>
  </si>
  <si>
    <t>Muut varastorakennukset</t>
  </si>
  <si>
    <t>Vapaa-ajan asuinrakennukset</t>
  </si>
  <si>
    <t>Tietoliikenteen rakennukset</t>
  </si>
  <si>
    <t>Muut erilliset pientalot</t>
  </si>
  <si>
    <t>Saunarakennukset</t>
  </si>
  <si>
    <t>Kulkuneuvojen suoja- ja huoltorakennukset</t>
  </si>
  <si>
    <t>Julkisivulistaus</t>
  </si>
  <si>
    <t>Tiili</t>
  </si>
  <si>
    <t>Kivi</t>
  </si>
  <si>
    <t>Lasi</t>
  </si>
  <si>
    <t>Rappaus</t>
  </si>
  <si>
    <t>Muut</t>
  </si>
  <si>
    <t>Julkisivulevy</t>
  </si>
  <si>
    <t>Purkukohteen perustiedot</t>
  </si>
  <si>
    <t>Asfaltti</t>
  </si>
  <si>
    <t>Metalli</t>
  </si>
  <si>
    <t>Eristeet</t>
  </si>
  <si>
    <t>Purkukohteen laskennallinen purkumateriaalien määrä</t>
  </si>
  <si>
    <t>Purkumateriaalin laskennallinen määrä materiaaleittain</t>
  </si>
  <si>
    <t>Kivennäislaatat ja keramiikka</t>
  </si>
  <si>
    <t>Bitumi ja kattohuopa</t>
  </si>
  <si>
    <t>Kipsi</t>
  </si>
  <si>
    <t>Puu ja puupohjaiset tuotteet</t>
  </si>
  <si>
    <t>Sähkö- ja elektroniikkalaitteet</t>
  </si>
  <si>
    <t>Sekalainen materiaali</t>
  </si>
  <si>
    <t>941</t>
  </si>
  <si>
    <t>719</t>
  </si>
  <si>
    <t>041</t>
  </si>
  <si>
    <t>164</t>
  </si>
  <si>
    <t>013</t>
  </si>
  <si>
    <t>931</t>
  </si>
  <si>
    <t>162</t>
  </si>
  <si>
    <t>124</t>
  </si>
  <si>
    <t>Asuinrakennukset</t>
  </si>
  <si>
    <t>Muut ei-asuin-rakennukset</t>
  </si>
  <si>
    <t>vuosijakso</t>
  </si>
  <si>
    <t>f</t>
  </si>
  <si>
    <t>rs_paff</t>
  </si>
  <si>
    <t>ri_paff</t>
  </si>
  <si>
    <t>volalasuhde</t>
  </si>
  <si>
    <t>rs_pp</t>
  </si>
  <si>
    <t>ri_pp</t>
  </si>
  <si>
    <t>rs_vpala</t>
  </si>
  <si>
    <t>ri_vpala</t>
  </si>
  <si>
    <t>rs_jp</t>
  </si>
  <si>
    <t>ri_jp</t>
  </si>
  <si>
    <t>11</t>
  </si>
  <si>
    <t>-1920</t>
  </si>
  <si>
    <t>1920-1925</t>
  </si>
  <si>
    <t>1925-1930</t>
  </si>
  <si>
    <t>1930-1935</t>
  </si>
  <si>
    <t>1935-1940</t>
  </si>
  <si>
    <t>1940-1945</t>
  </si>
  <si>
    <t>1945-1950</t>
  </si>
  <si>
    <t>1950-1955</t>
  </si>
  <si>
    <t>1955-1960</t>
  </si>
  <si>
    <t>1960-1965</t>
  </si>
  <si>
    <t>1965-1970</t>
  </si>
  <si>
    <t>1970-1975</t>
  </si>
  <si>
    <t>1975-1980</t>
  </si>
  <si>
    <t>1980-1985</t>
  </si>
  <si>
    <t>1985-1990</t>
  </si>
  <si>
    <t>1990-1995</t>
  </si>
  <si>
    <t>1995-2000</t>
  </si>
  <si>
    <t>2000-2005</t>
  </si>
  <si>
    <t>2005-2010</t>
  </si>
  <si>
    <t>2010-2015</t>
  </si>
  <si>
    <t>2015-2020</t>
  </si>
  <si>
    <t>2020-</t>
  </si>
  <si>
    <t>12</t>
  </si>
  <si>
    <t>Rakennuksen ikä</t>
  </si>
  <si>
    <t>Maan päällisten kerrosten lukumäärä</t>
  </si>
  <si>
    <t>Perustiedot</t>
  </si>
  <si>
    <t>%-osuus</t>
  </si>
  <si>
    <t>Combine</t>
  </si>
  <si>
    <t>Rakennuksen lämmitysjärjestelmä</t>
  </si>
  <si>
    <t>Muovi (pl. Muovieristeet)</t>
  </si>
  <si>
    <t>Väliseinämateriaali</t>
  </si>
  <si>
    <t>Kivi (tiili tai harkko)</t>
  </si>
  <si>
    <t>Puu, rankarakenne</t>
  </si>
  <si>
    <t>Puu, hirsi</t>
  </si>
  <si>
    <t>Harkko/Siporex/muu</t>
  </si>
  <si>
    <r>
      <t>m</t>
    </r>
    <r>
      <rPr>
        <vertAlign val="superscript"/>
        <sz val="15"/>
        <color theme="3"/>
        <rFont val="Calibri"/>
        <family val="2"/>
        <scheme val="minor"/>
      </rPr>
      <t>2</t>
    </r>
  </si>
  <si>
    <r>
      <t>rm</t>
    </r>
    <r>
      <rPr>
        <vertAlign val="superscript"/>
        <sz val="15"/>
        <color theme="3"/>
        <rFont val="Calibri"/>
        <family val="2"/>
        <scheme val="minor"/>
      </rPr>
      <t>3</t>
    </r>
  </si>
  <si>
    <t>Kivi- ja mineraalipohjaiset materiaalit</t>
  </si>
  <si>
    <t>Orgaaniset materiaalit</t>
  </si>
  <si>
    <t>Metallit</t>
  </si>
  <si>
    <t>Synteettiset ja muovipohjaiset materiaalit</t>
  </si>
  <si>
    <t>Sekalaiset ja muut materiaalit</t>
  </si>
  <si>
    <t>Sähkölaitteet</t>
  </si>
  <si>
    <t>Rakennusvuosi*</t>
  </si>
  <si>
    <t>Maanpäällisten kerrosten lukumäärä*</t>
  </si>
  <si>
    <t>Kellarin pinta-alan osuus bruttoalasta</t>
  </si>
  <si>
    <t>Arvio purkumateriaalien määrästä</t>
  </si>
  <si>
    <t>Purkumateriaalien arviointilaskuri</t>
  </si>
  <si>
    <t>Rakennuksen ensisijainen julkisivumateriaali*</t>
  </si>
  <si>
    <t>Rakennuksen toissijainen julkisivumateriaali*</t>
  </si>
  <si>
    <t>Lasken-nallinen</t>
  </si>
  <si>
    <t>Selite</t>
  </si>
  <si>
    <t>Talotyyppi, tid</t>
  </si>
  <si>
    <t>Rakennusluokka</t>
  </si>
  <si>
    <t>Syöttöarvo</t>
  </si>
  <si>
    <t>Ensisijaisen julkisivumateriaalin osuus</t>
  </si>
  <si>
    <t>Toissijaisen julkisivumateriaalin osuus</t>
  </si>
  <si>
    <t>Kattomateriaali</t>
  </si>
  <si>
    <t>KerllariA</t>
  </si>
  <si>
    <t>KattoA</t>
  </si>
  <si>
    <t>IkkunaA</t>
  </si>
  <si>
    <t>Parametri</t>
  </si>
  <si>
    <t>Käyttäjän syöttämä</t>
  </si>
  <si>
    <t>Laskennallinen</t>
  </si>
  <si>
    <t>Laskentaan käytettävä</t>
  </si>
  <si>
    <t>EnsiJulkisivuA</t>
  </si>
  <si>
    <t>ToisJulkisivuA</t>
  </si>
  <si>
    <t>sokkelibitumi</t>
  </si>
  <si>
    <t>Kohdevalinta, rakennusparametrit</t>
  </si>
  <si>
    <t>Kohdevalinta, materiaalit</t>
  </si>
  <si>
    <t>Purkukohteen ominaisuudet</t>
  </si>
  <si>
    <t>rs_nurkka</t>
  </si>
  <si>
    <t>ri_nurkka</t>
  </si>
  <si>
    <t>rs_Nurkka</t>
  </si>
  <si>
    <t>ri_Nurkka</t>
  </si>
  <si>
    <t>väliseinäom</t>
  </si>
  <si>
    <t>VäliseinäOM</t>
  </si>
  <si>
    <t>bitumihuopa</t>
  </si>
  <si>
    <t>kipsiulkoseinä</t>
  </si>
  <si>
    <t>Nimi</t>
  </si>
  <si>
    <t>Kohdetiedot</t>
  </si>
  <si>
    <t>Laskenta</t>
  </si>
  <si>
    <t>Arvo</t>
  </si>
  <si>
    <t>Runko, tiili</t>
  </si>
  <si>
    <t>Runko, harkko</t>
  </si>
  <si>
    <t>Runko, hirsi</t>
  </si>
  <si>
    <t>Runko, ranka</t>
  </si>
  <si>
    <t>Sokkelibitumi</t>
  </si>
  <si>
    <t>Bitumikermikate</t>
  </si>
  <si>
    <t>kipsiväliseinä</t>
  </si>
  <si>
    <t>kipsisisäkatto</t>
  </si>
  <si>
    <t>kipsiyläpohja</t>
  </si>
  <si>
    <t>kipsimuut</t>
  </si>
  <si>
    <t>laatoitus</t>
  </si>
  <si>
    <t>lasi</t>
  </si>
  <si>
    <t>Laatoitus</t>
  </si>
  <si>
    <t>Ulkoseinä</t>
  </si>
  <si>
    <t>Väliseinä</t>
  </si>
  <si>
    <t>Välipohja/Sisäkatto</t>
  </si>
  <si>
    <t>Yläpohja</t>
  </si>
  <si>
    <t>Muu kipsi</t>
  </si>
  <si>
    <t>Ikkunalasi</t>
  </si>
  <si>
    <t>Kellarin pinta-alan osuus pohja-alasta*</t>
  </si>
  <si>
    <t>Harjakatto, pulpettikatto tms.</t>
  </si>
  <si>
    <t>Huopa, bitumikermi</t>
  </si>
  <si>
    <t>Talotyyppi*</t>
  </si>
  <si>
    <t>Kattotyyppi*</t>
  </si>
  <si>
    <t>Kattomateriaali*</t>
  </si>
  <si>
    <t>betonirunko</t>
  </si>
  <si>
    <t>betonijulkisivu</t>
  </si>
  <si>
    <t>betonialapohja</t>
  </si>
  <si>
    <t>betonivälipohja</t>
  </si>
  <si>
    <t>betoniyläpohja</t>
  </si>
  <si>
    <t>betoniväliseinä</t>
  </si>
  <si>
    <t>betoniulkosisäseinä</t>
  </si>
  <si>
    <t>betonikellariseinä</t>
  </si>
  <si>
    <t>puurunko</t>
  </si>
  <si>
    <t>puujulkisivu</t>
  </si>
  <si>
    <t>puualapohja</t>
  </si>
  <si>
    <t>puuvälipohja</t>
  </si>
  <si>
    <t>puuyläpohja</t>
  </si>
  <si>
    <t>puuväliseinä</t>
  </si>
  <si>
    <t>puulattia</t>
  </si>
  <si>
    <t>puusisäkatto</t>
  </si>
  <si>
    <t>puuikkunat</t>
  </si>
  <si>
    <t>puuovet</t>
  </si>
  <si>
    <t>puusauna</t>
  </si>
  <si>
    <t>puujalkalistat</t>
  </si>
  <si>
    <t>puupeitelistat</t>
  </si>
  <si>
    <t>puuporras</t>
  </si>
  <si>
    <t>muoviviemäri</t>
  </si>
  <si>
    <t>muovikäyttövesi</t>
  </si>
  <si>
    <t>muoviiv</t>
  </si>
  <si>
    <t>muovikaivot</t>
  </si>
  <si>
    <t>muovijohtotie</t>
  </si>
  <si>
    <t>muoviasennuskaluste</t>
  </si>
  <si>
    <t>muovijohdot</t>
  </si>
  <si>
    <t>kuparijohdot</t>
  </si>
  <si>
    <t>Puu, hirsi tai massiivipuu</t>
  </si>
  <si>
    <t>Runkobetoni</t>
  </si>
  <si>
    <t>Julkisivubetoni</t>
  </si>
  <si>
    <t>Sokkelibetoni</t>
  </si>
  <si>
    <t>Alapohjabetoni</t>
  </si>
  <si>
    <t>Välipohjabetoni</t>
  </si>
  <si>
    <t>Yläpohjabetoni</t>
  </si>
  <si>
    <t>Väliseinäbetoni</t>
  </si>
  <si>
    <t>Kellariseinäbetoni</t>
  </si>
  <si>
    <t>Väliseinätiili</t>
  </si>
  <si>
    <t>Julkisivutiili</t>
  </si>
  <si>
    <t>Julkisivupuu</t>
  </si>
  <si>
    <t>Alapohjapuu</t>
  </si>
  <si>
    <t>Välipohjapuu</t>
  </si>
  <si>
    <t>Yläpohjavesikatepuu</t>
  </si>
  <si>
    <t>Väliseinäpuu</t>
  </si>
  <si>
    <t>Lattiapuu</t>
  </si>
  <si>
    <t>Sisäkattopuu</t>
  </si>
  <si>
    <t>Ikkunapuu</t>
  </si>
  <si>
    <t>Ovipuu</t>
  </si>
  <si>
    <t>Saunapuu</t>
  </si>
  <si>
    <t>Listapuu</t>
  </si>
  <si>
    <t>Porraspuu</t>
  </si>
  <si>
    <t>Runkometalli</t>
  </si>
  <si>
    <t>Johtokupari</t>
  </si>
  <si>
    <t>KäyttövesiMetalli</t>
  </si>
  <si>
    <t>ViemäriMetalli</t>
  </si>
  <si>
    <t>Kattopelti</t>
  </si>
  <si>
    <t>ViemäriMuovi</t>
  </si>
  <si>
    <t>KäyttövesiMuovi</t>
  </si>
  <si>
    <t>IlmastointiMuovi</t>
  </si>
  <si>
    <t>KaivotMuovi </t>
  </si>
  <si>
    <t>Tuulensuoja</t>
  </si>
  <si>
    <t>Höyrysulku</t>
  </si>
  <si>
    <t>AluskateMuovi</t>
  </si>
  <si>
    <t>Muovilattia</t>
  </si>
  <si>
    <t>MärkätilaMuovi</t>
  </si>
  <si>
    <t>AsennusJohtotieMuovi</t>
  </si>
  <si>
    <t>AsennuskalusteMuovi</t>
  </si>
  <si>
    <t>JohtoMuovi</t>
  </si>
  <si>
    <t>Puu, lauta</t>
  </si>
  <si>
    <t>Vesikiertopatterit</t>
  </si>
  <si>
    <t>Sähköpatterit</t>
  </si>
  <si>
    <t>Pönttöuuni</t>
  </si>
  <si>
    <t>Kaakeliuuni</t>
  </si>
  <si>
    <t>Puuhella</t>
  </si>
  <si>
    <t>Lämmityskattila</t>
  </si>
  <si>
    <t>Lämminvesivaraaja</t>
  </si>
  <si>
    <t>metallikäyttövesi</t>
  </si>
  <si>
    <t>metalliviemäri</t>
  </si>
  <si>
    <t>routaeriste</t>
  </si>
  <si>
    <t>sokkelieriste</t>
  </si>
  <si>
    <t>välialapohjaeriste</t>
  </si>
  <si>
    <t>ulkoyläpohjaeriste</t>
  </si>
  <si>
    <t>Öljypoltin</t>
  </si>
  <si>
    <t>Muu (päre tms.)</t>
  </si>
  <si>
    <t>Kiinteistön tiedot ja arvion tekijän tiedot</t>
  </si>
  <si>
    <t>Rakennustunnus</t>
  </si>
  <si>
    <t>Purettavan asfaltoidun pihan pinta-ala*</t>
  </si>
  <si>
    <t>Osoite</t>
  </si>
  <si>
    <t>Arvion tekijä</t>
  </si>
  <si>
    <t>Puhelinnumero</t>
  </si>
  <si>
    <t>Sähköpostiosoite</t>
  </si>
  <si>
    <t>Tiilitakka</t>
  </si>
  <si>
    <t>Leivinuuni</t>
  </si>
  <si>
    <t>eristemuovialapohja</t>
  </si>
  <si>
    <t>eristemuoviperustus</t>
  </si>
  <si>
    <t>eristemuoviulkoseinä</t>
  </si>
  <si>
    <t>eristemuoviyläpohja</t>
  </si>
  <si>
    <t>eristemuovivälipohja</t>
  </si>
  <si>
    <t>eristemuoviväliseinä</t>
  </si>
  <si>
    <t>eristevillaalapohja</t>
  </si>
  <si>
    <t>eristevillaperustus</t>
  </si>
  <si>
    <t>eristevillaulkoseinä</t>
  </si>
  <si>
    <t>eristevillayläpohja</t>
  </si>
  <si>
    <t>eristevillavälipohja</t>
  </si>
  <si>
    <t>eristevillaväliseinä</t>
  </si>
  <si>
    <t>eristesellualapohja</t>
  </si>
  <si>
    <t>eristeselluperustus</t>
  </si>
  <si>
    <t>eristeselluulkoseinä</t>
  </si>
  <si>
    <t>eristeselluyläpohja</t>
  </si>
  <si>
    <t>eristeselluvälipohja</t>
  </si>
  <si>
    <t>eristeselluväliseinä</t>
  </si>
  <si>
    <t>Runkomateriaali, ensisijainen</t>
  </si>
  <si>
    <t>Runkomateriaali, toissijainen</t>
  </si>
  <si>
    <t>Runkomateriaali osuus, ensisijainen</t>
  </si>
  <si>
    <t>Runkomateriaali osuus, toissijainen</t>
  </si>
  <si>
    <t>TiiliHormiLkm</t>
  </si>
  <si>
    <t>KaakeliuuniLkm</t>
  </si>
  <si>
    <t>HormiMassa</t>
  </si>
  <si>
    <t>Luku</t>
  </si>
  <si>
    <t>RoutaEristeMuovi</t>
  </si>
  <si>
    <t>SokkeliVesiEristeMuovi</t>
  </si>
  <si>
    <t>UlkoseinäEristeMuovi</t>
  </si>
  <si>
    <t>YläpohjaEristeMuovi</t>
  </si>
  <si>
    <t>VälipohjaEristeMuovi</t>
  </si>
  <si>
    <t>VäliseinäEristeMuovi</t>
  </si>
  <si>
    <t>RoutaEristeVilla</t>
  </si>
  <si>
    <t>SokkeliVesiEristeVilla</t>
  </si>
  <si>
    <t>UlkoseinäEristeVilla</t>
  </si>
  <si>
    <t>YläpohjaEristeVilla</t>
  </si>
  <si>
    <t>VälipohjaEristeVilla</t>
  </si>
  <si>
    <t>VäliseinäEristeVilla</t>
  </si>
  <si>
    <t>RoutaEristeSellu</t>
  </si>
  <si>
    <t>SokkeliVesiEristeSellu</t>
  </si>
  <si>
    <t>UlkoseinäEristeSellu</t>
  </si>
  <si>
    <t>YläpohjaEristeSellu</t>
  </si>
  <si>
    <t>VälipohjaEristeSellu</t>
  </si>
  <si>
    <t>VäliseinäEristeSellu</t>
  </si>
  <si>
    <t>Sähkökaappi</t>
  </si>
  <si>
    <t>Kiuas</t>
  </si>
  <si>
    <t>Keskusälämmitys</t>
  </si>
  <si>
    <t>EnsiRunkoA</t>
  </si>
  <si>
    <t>ToisRunkoA</t>
  </si>
  <si>
    <t>Hormitiili</t>
  </si>
  <si>
    <t>Kaakeliuunitiili</t>
  </si>
  <si>
    <t>Hormimassa</t>
  </si>
  <si>
    <t>Tiilikate</t>
  </si>
  <si>
    <t>Kattila</t>
  </si>
  <si>
    <t>Porimatti</t>
  </si>
  <si>
    <t>Paisuntasäiliö</t>
  </si>
  <si>
    <t>eristemuutalapohja</t>
  </si>
  <si>
    <t>eristemuutperustus</t>
  </si>
  <si>
    <t>eristemuutulkoseinä</t>
  </si>
  <si>
    <t>eristemuutyläpohja</t>
  </si>
  <si>
    <t>eristemuutvälipohja</t>
  </si>
  <si>
    <t>eristemuutväliseinä</t>
  </si>
  <si>
    <t xml:space="preserve">Pärekatto </t>
  </si>
  <si>
    <t xml:space="preserve">RoutaEristeMuut </t>
  </si>
  <si>
    <t>Sekalainen</t>
  </si>
  <si>
    <t xml:space="preserve">SokkeliVesiEristeMuut </t>
  </si>
  <si>
    <t xml:space="preserve">YläpohjaEristeMuut </t>
  </si>
  <si>
    <t>ton</t>
  </si>
  <si>
    <t>Työkalun toimintaperiaate</t>
  </si>
  <si>
    <t>= Pakollinen tieto</t>
  </si>
  <si>
    <t>= Laskennallinen tieto, joka perustuu tavallisimmin käytettyihin rakenneratkaisuihin</t>
  </si>
  <si>
    <t>= Täsmentävä tieto, jolla pystytään parantamaan purkumateriaalien määrän arviota</t>
  </si>
  <si>
    <t>Purkulaskurin toteuttaja</t>
  </si>
  <si>
    <t>betonisokkeli</t>
  </si>
  <si>
    <t>höyrynsulku</t>
  </si>
  <si>
    <t>tuulensuoja</t>
  </si>
  <si>
    <t>Porin Matti</t>
  </si>
  <si>
    <t>Ilmastointiputki</t>
  </si>
  <si>
    <t>ilmastointiputket</t>
  </si>
  <si>
    <t>Purkukohteen laajuustiedot</t>
  </si>
  <si>
    <t>Pakolliset syötettävät laajuustiedot</t>
  </si>
  <si>
    <t>Laskennalliset ja täsmennettävät laajuustiedot</t>
  </si>
  <si>
    <t>Laskuri laskee automaattisesti annettuihin ominaisuustietoihin perustuen laajuustietoja. Voit halutessasi täsmentää laajuustietoja. Laskuri käyttää aina ensisijaisesti käyttäjän itsensä syöttämää täsmennettyä rakennusosamäärätietoa.</t>
  </si>
  <si>
    <t>Tietoa työkalusta</t>
  </si>
  <si>
    <t>Purkulaskuri tehtiin Forecon Oy:ssä tammikuussa 2025. Forecon on puolueeton ja itsenäinen rakentamisen markkinatutkimusyritys Tampereelta.</t>
  </si>
  <si>
    <t>Tämän purkumateriaalien arviointilaskurin avulla käyttäjä voi arvioida rakennuksen sisältämiä materiaalimääriä ja niiden jakaumaa. Laskuria voidaan käyttää esimerkiksi rakentamislain edellyttämän purkumateriaali- ja rakennusjäteselvityksen laadinnan pohjana pientaloille. Laskuri tarkoitettu pääasiassa yksityishenkilöiden omakoti- ja paritalojen sekä niihin liittyvien talous- ja muiden rakennusten purkamisessa syntyvien purkumateriaalimäärien arvioimiseen.</t>
  </si>
  <si>
    <t>Julkisivumateriaali</t>
  </si>
  <si>
    <t>Runkomateriaali</t>
  </si>
  <si>
    <t>rs0_VpAla</t>
  </si>
  <si>
    <t>jp_05dec</t>
  </si>
  <si>
    <t>pp_05dec</t>
  </si>
  <si>
    <t>Custom</t>
  </si>
  <si>
    <t>paff05</t>
  </si>
  <si>
    <t>märkätilaala</t>
  </si>
  <si>
    <t>rs0_vpala</t>
  </si>
  <si>
    <t xml:space="preserve">Tämän työkalun tarkoituksena on antaa karkea arvio rakennuksen sisältämistä purkumateriaalimääristä perustuen tavallisesti käytettyihin rakenne- ja materiaalivalintoihin eri talotyypeissä ja aikakausina. Halutessasi tarkemman purkumateriaalimäärien arvion, on se tehtävä purkumateriaali- ja rakennusjäteselvityksen tai purkukartoituksen avulla. Työkalun tekijä ei vastaa laskurissa mahdollisesti olevista virheistä ja niistä aiheutuvista vahingoista. </t>
  </si>
  <si>
    <t>Postinumero</t>
  </si>
  <si>
    <t>Ensisijaisen materiaalin osuus</t>
  </si>
  <si>
    <t>Ensisijainen materiaali*</t>
  </si>
  <si>
    <t xml:space="preserve">Työkalu on toteutettu oletuksella, että rakennus sisältää alkuperäisen rakennuksen materiaalit. Laskuri ei huomioi rakennukseen sen elinkaaren aikana tehtyjen korjaustoimenpiteiden tai perusparannuksien yhteydessä lisättyjä tai muutettuja materiaaleja, lukuun ottamatta erikseen kysyttyjä pintamateriaaleja. </t>
  </si>
  <si>
    <t>Työkalu on toteutettu seuraaville neljälle talotyypille, mutta sitä voidaan soveltaen käyttää myös jäljessä kuvattuihin talotyyppeihin:</t>
  </si>
  <si>
    <t>Laskuri keskittyy varsinaisen rakennuksen sisältämiin materiaaleihin ja rakennuksen ulkopuoliset yhdyskuntatekniset kanavat, kuten kaukolämpöputket, ovat laskennan ulkopuolella.</t>
  </si>
  <si>
    <t>Toissijainen materiaali</t>
  </si>
  <si>
    <t>Betoniteräs</t>
  </si>
  <si>
    <t>Mitä seuraavia lämmityslaitteita rakennuksessa on?</t>
  </si>
  <si>
    <t>Betoniteräksen osuus</t>
  </si>
  <si>
    <t>Työkalu määrittelee annettavien tietojen perusteella mahdollisimman oikeansuuntaisen arvion rakennuksen sisältämistä purkumateriaaleista. Laskurin antama materiaalimäärä on karkea arvio ja perustuu yleisesti käytettyihin rakennustuotteisiin ja rakenneratkaisuihin eri aikakausina.</t>
  </si>
  <si>
    <t>Purkumateriaalien arviointilaskurin käyttö on yksinkertaista. Työkaluun täydennetään purkukohteen perustiedot ja laajuustiedot niille varattuihin kohtiin alla olevan värityksen mukaisesti. Purkukohteen perustiedot kohdassa rakennuksen lähtötiedot valitaan pudotusvalikosta ja valintalaatikoista. Laajuustiedoissa annettavien pakollisten tietojen pohjalta tulevia laskennallisia tietoja voi halutessaan tarkentaa täsmentävillä, todellisilla tiedoilla. Laskuri käyttää aina ensisijaisesti käyttäjän täsmentämää tietoa purkumateriaalimäärien arviointiin. Lisätietoa täytettävistä kohdista saa klikkaamalla Info-sarakkeen punaista merkkiä. Laskurin solujen taustavärien selitteet:</t>
  </si>
  <si>
    <t>Kiinteistötunnus</t>
  </si>
  <si>
    <r>
      <t xml:space="preserve">• </t>
    </r>
    <r>
      <rPr>
        <b/>
        <sz val="14"/>
        <color theme="4"/>
        <rFont val="Calibri"/>
        <family val="2"/>
      </rPr>
      <t>Yhden asunnon talot</t>
    </r>
    <r>
      <rPr>
        <sz val="14"/>
        <color theme="3"/>
        <rFont val="Calibri"/>
        <family val="2"/>
      </rPr>
      <t>, soveltaen muut erilliset pientalot ja vapaa-ajan asunnot</t>
    </r>
  </si>
  <si>
    <r>
      <t xml:space="preserve">• </t>
    </r>
    <r>
      <rPr>
        <b/>
        <sz val="14"/>
        <color theme="4"/>
        <rFont val="Calibri"/>
        <family val="2"/>
      </rPr>
      <t>Kahden asunnon talot</t>
    </r>
  </si>
  <si>
    <r>
      <t xml:space="preserve">• </t>
    </r>
    <r>
      <rPr>
        <b/>
        <sz val="14"/>
        <color theme="4"/>
        <rFont val="Calibri"/>
        <family val="2"/>
      </rPr>
      <t>Kulkuneuvojen suoja- ja huoltorakennukset</t>
    </r>
    <r>
      <rPr>
        <b/>
        <sz val="14"/>
        <color theme="3"/>
        <rFont val="Calibri"/>
        <family val="2"/>
      </rPr>
      <t>,</t>
    </r>
    <r>
      <rPr>
        <sz val="14"/>
        <color theme="3"/>
        <rFont val="Calibri"/>
        <family val="2"/>
      </rPr>
      <t xml:space="preserve"> soveltaen muut varastorakennukset</t>
    </r>
  </si>
  <si>
    <r>
      <t xml:space="preserve">• </t>
    </r>
    <r>
      <rPr>
        <b/>
        <sz val="14"/>
        <color theme="4"/>
        <rFont val="Calibri"/>
        <family val="2"/>
      </rPr>
      <t>Talousrakennukset</t>
    </r>
    <r>
      <rPr>
        <b/>
        <sz val="14"/>
        <color theme="3"/>
        <rFont val="Calibri"/>
        <family val="2"/>
      </rPr>
      <t>,</t>
    </r>
    <r>
      <rPr>
        <sz val="14"/>
        <color theme="3"/>
        <rFont val="Calibri"/>
        <family val="2"/>
      </rPr>
      <t xml:space="preserve"> soveltaen saunarakennukset</t>
    </r>
  </si>
  <si>
    <t>Versio 1.0  |  Julkaistu 14.4.2025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</si>
</sst>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General\ \%"/>
    <numFmt numFmtId="167" formatCode="#,##0.0&quot; ton&quot;"/>
    <numFmt numFmtId="168" formatCode="##,###.0&quot; ton&quot;"/>
  </numFmts>
  <fonts count="49" x14ac:knownFonts="1">
    <font>
      <sz val="11"/>
      <color theme="1"/>
      <name val="Calibri"/>
      <family val="2"/>
      <scheme val="minor"/>
    </font>
    <font>
      <b/>
      <sz val="13"/>
      <color theme="3"/>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color rgb="FFFA7D00"/>
      <name val="Calibri"/>
      <family val="2"/>
      <scheme val="minor"/>
    </font>
    <font>
      <sz val="11"/>
      <color rgb="FFFF0000"/>
      <name val="Calibri"/>
      <family val="2"/>
      <scheme val="minor"/>
    </font>
    <font>
      <b/>
      <sz val="16"/>
      <color theme="3"/>
      <name val="Calibri"/>
      <family val="2"/>
      <scheme val="minor"/>
    </font>
    <font>
      <b/>
      <sz val="14"/>
      <color theme="3"/>
      <name val="Calibri"/>
      <family val="2"/>
      <scheme val="minor"/>
    </font>
    <font>
      <b/>
      <sz val="14"/>
      <color indexed="81"/>
      <name val="Calibri"/>
      <family val="2"/>
      <scheme val="major"/>
    </font>
    <font>
      <sz val="14"/>
      <color indexed="81"/>
      <name val="Calibri"/>
      <family val="2"/>
      <scheme val="major"/>
    </font>
    <font>
      <b/>
      <sz val="15"/>
      <color theme="3"/>
      <name val="Calibri"/>
      <family val="2"/>
      <scheme val="minor"/>
    </font>
    <font>
      <b/>
      <sz val="11"/>
      <color theme="3"/>
      <name val="Calibri"/>
      <family val="2"/>
      <scheme val="minor"/>
    </font>
    <font>
      <sz val="11"/>
      <color theme="3"/>
      <name val="Calibri"/>
      <family val="2"/>
      <scheme val="minor"/>
    </font>
    <font>
      <sz val="15"/>
      <color theme="3"/>
      <name val="Calibri"/>
      <family val="2"/>
      <scheme val="minor"/>
    </font>
    <font>
      <sz val="20"/>
      <color theme="3"/>
      <name val="Calibri"/>
      <family val="2"/>
      <scheme val="minor"/>
    </font>
    <font>
      <b/>
      <sz val="12"/>
      <color theme="3"/>
      <name val="Calibri"/>
      <family val="2"/>
      <scheme val="minor"/>
    </font>
    <font>
      <sz val="12"/>
      <color theme="3"/>
      <name val="Calibri"/>
      <family val="2"/>
      <scheme val="minor"/>
    </font>
    <font>
      <sz val="14"/>
      <color theme="3"/>
      <name val="Calibri"/>
      <family val="2"/>
      <scheme val="minor"/>
    </font>
    <font>
      <b/>
      <sz val="14"/>
      <color theme="3"/>
      <name val="Calibri"/>
      <family val="2"/>
      <scheme val="major"/>
    </font>
    <font>
      <i/>
      <sz val="11"/>
      <color theme="3"/>
      <name val="Calibri"/>
      <family val="2"/>
      <scheme val="minor"/>
    </font>
    <font>
      <vertAlign val="superscript"/>
      <sz val="15"/>
      <color theme="3"/>
      <name val="Calibri"/>
      <family val="2"/>
      <scheme val="minor"/>
    </font>
    <font>
      <sz val="15"/>
      <color theme="3"/>
      <name val="Calibri"/>
      <family val="2"/>
      <scheme val="major"/>
    </font>
    <font>
      <b/>
      <sz val="15"/>
      <color theme="3"/>
      <name val="Calibri"/>
      <family val="2"/>
      <scheme val="major"/>
    </font>
    <font>
      <i/>
      <sz val="15"/>
      <color theme="3"/>
      <name val="Calibri"/>
      <family val="2"/>
      <scheme val="minor"/>
    </font>
    <font>
      <sz val="11"/>
      <color theme="2" tint="-4.9989318521683403E-2"/>
      <name val="Calibri"/>
      <family val="2"/>
      <scheme val="minor"/>
    </font>
    <font>
      <b/>
      <sz val="20"/>
      <color theme="0"/>
      <name val="Calibri"/>
      <family val="2"/>
      <scheme val="minor"/>
    </font>
    <font>
      <sz val="15"/>
      <color theme="0"/>
      <name val="Calibri"/>
      <family val="2"/>
      <scheme val="minor"/>
    </font>
    <font>
      <sz val="20"/>
      <color theme="0"/>
      <name val="Calibri"/>
      <family val="2"/>
      <scheme val="minor"/>
    </font>
    <font>
      <strike/>
      <sz val="15"/>
      <color theme="3"/>
      <name val="Calibri"/>
      <family val="2"/>
      <scheme val="major"/>
    </font>
    <font>
      <sz val="14"/>
      <color theme="3"/>
      <name val="Calibri"/>
      <family val="2"/>
    </font>
    <font>
      <b/>
      <sz val="14"/>
      <color theme="0"/>
      <name val="Calibri"/>
      <family val="2"/>
      <scheme val="minor"/>
    </font>
    <font>
      <b/>
      <sz val="14"/>
      <color theme="3"/>
      <name val="Calibri"/>
      <family val="2"/>
    </font>
    <font>
      <b/>
      <sz val="16"/>
      <color theme="4"/>
      <name val="Calibri"/>
      <family val="2"/>
      <scheme val="minor"/>
    </font>
    <font>
      <b/>
      <sz val="20"/>
      <color theme="4"/>
      <name val="Calibri"/>
      <family val="2"/>
      <scheme val="minor"/>
    </font>
    <font>
      <sz val="20"/>
      <color theme="4"/>
      <name val="Calibri"/>
      <family val="2"/>
      <scheme val="minor"/>
    </font>
    <font>
      <b/>
      <sz val="14"/>
      <color theme="4"/>
      <name val="Calibri"/>
      <family val="2"/>
    </font>
    <font>
      <b/>
      <sz val="12"/>
      <color theme="4"/>
      <name val="Calibri"/>
      <family val="2"/>
      <scheme val="minor"/>
    </font>
    <font>
      <b/>
      <sz val="14"/>
      <color theme="4"/>
      <name val="Calibri"/>
      <family val="2"/>
      <scheme val="minor"/>
    </font>
    <font>
      <b/>
      <sz val="14"/>
      <color theme="4"/>
      <name val="Calibri"/>
      <family val="2"/>
      <scheme val="major"/>
    </font>
    <font>
      <b/>
      <sz val="15"/>
      <color theme="4"/>
      <name val="Calibri"/>
      <family val="2"/>
      <scheme val="minor"/>
    </font>
    <font>
      <sz val="15"/>
      <color theme="4"/>
      <name val="Calibri"/>
      <family val="2"/>
      <scheme val="minor"/>
    </font>
    <font>
      <b/>
      <sz val="15"/>
      <color theme="4"/>
      <name val="Calibri"/>
      <family val="2"/>
      <scheme val="major"/>
    </font>
    <font>
      <sz val="28"/>
      <color theme="3"/>
      <name val="Calibri"/>
      <family val="2"/>
      <scheme val="minor"/>
    </font>
  </fonts>
  <fills count="14">
    <fill>
      <patternFill patternType="none"/>
    </fill>
    <fill>
      <patternFill patternType="gray125"/>
    </fill>
    <fill>
      <patternFill patternType="solid">
        <fgColor rgb="FFFFCC99"/>
      </patternFill>
    </fill>
    <fill>
      <patternFill patternType="solid">
        <fgColor theme="4"/>
        <bgColor theme="4"/>
      </patternFill>
    </fill>
    <fill>
      <patternFill patternType="solid">
        <fgColor theme="4" tint="0.79998168889431442"/>
        <bgColor theme="4" tint="0.79998168889431442"/>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FFCC"/>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39997558519241921"/>
        <bgColor indexed="64"/>
      </patternFill>
    </fill>
  </fills>
  <borders count="4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style="medium">
        <color indexed="64"/>
      </right>
      <top/>
      <bottom style="medium">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n">
        <color auto="1"/>
      </top>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auto="1"/>
      </top>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rgb="FFB2B2B2"/>
      </left>
      <right style="thin">
        <color rgb="FFB2B2B2"/>
      </right>
      <top style="thin">
        <color rgb="FFB2B2B2"/>
      </top>
      <bottom style="thin">
        <color rgb="FFB2B2B2"/>
      </bottom>
      <diagonal/>
    </border>
    <border>
      <left style="medium">
        <color theme="5"/>
      </left>
      <right/>
      <top/>
      <bottom/>
      <diagonal/>
    </border>
    <border>
      <left/>
      <right/>
      <top/>
      <bottom style="thin">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bottom/>
      <diagonal/>
    </border>
    <border>
      <left/>
      <right/>
      <top style="thin">
        <color theme="5"/>
      </top>
      <bottom style="thin">
        <color theme="5"/>
      </bottom>
      <diagonal/>
    </border>
    <border>
      <left/>
      <right style="medium">
        <color theme="5"/>
      </right>
      <top/>
      <bottom style="thin">
        <color theme="5"/>
      </bottom>
      <diagonal/>
    </border>
    <border>
      <left style="medium">
        <color theme="5"/>
      </left>
      <right/>
      <top/>
      <bottom style="thin">
        <color theme="5"/>
      </bottom>
      <diagonal/>
    </border>
    <border>
      <left/>
      <right style="medium">
        <color theme="5"/>
      </right>
      <top style="medium">
        <color theme="5"/>
      </top>
      <bottom style="medium">
        <color theme="5"/>
      </bottom>
      <diagonal/>
    </border>
    <border>
      <left/>
      <right/>
      <top style="thin">
        <color theme="5"/>
      </top>
      <bottom/>
      <diagonal/>
    </border>
    <border>
      <left/>
      <right/>
      <top/>
      <bottom style="thin">
        <color theme="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s>
  <cellStyleXfs count="6">
    <xf numFmtId="0" fontId="0" fillId="0" borderId="0"/>
    <xf numFmtId="0" fontId="1" fillId="0" borderId="1" applyNumberFormat="0" applyFill="0" applyAlignment="0" applyProtection="0"/>
    <xf numFmtId="0" fontId="2" fillId="2" borderId="2" applyNumberFormat="0" applyAlignment="0" applyProtection="0"/>
    <xf numFmtId="9" fontId="9" fillId="0" borderId="0" applyFont="0" applyFill="0" applyBorder="0" applyAlignment="0" applyProtection="0"/>
    <xf numFmtId="0" fontId="10" fillId="5" borderId="2" applyNumberFormat="0" applyAlignment="0" applyProtection="0"/>
    <xf numFmtId="0" fontId="9" fillId="9" borderId="30" applyNumberFormat="0" applyFont="0" applyAlignment="0" applyProtection="0"/>
  </cellStyleXfs>
  <cellXfs count="176">
    <xf numFmtId="0" fontId="0" fillId="0" borderId="0" xfId="0"/>
    <xf numFmtId="0" fontId="3" fillId="3" borderId="3" xfId="0" applyFont="1" applyFill="1" applyBorder="1"/>
    <xf numFmtId="0" fontId="3" fillId="3" borderId="4" xfId="0" applyFont="1" applyFill="1" applyBorder="1"/>
    <xf numFmtId="0" fontId="3" fillId="3" borderId="5" xfId="0" applyFont="1" applyFill="1" applyBorder="1"/>
    <xf numFmtId="0" fontId="0" fillId="4" borderId="3" xfId="0" applyFill="1" applyBorder="1"/>
    <xf numFmtId="0" fontId="0" fillId="4" borderId="4" xfId="0" applyFill="1" applyBorder="1"/>
    <xf numFmtId="0" fontId="0" fillId="4" borderId="5" xfId="0" applyFill="1" applyBorder="1"/>
    <xf numFmtId="0" fontId="0" fillId="0" borderId="3" xfId="0" applyBorder="1"/>
    <xf numFmtId="0" fontId="0" fillId="0" borderId="4" xfId="0" applyBorder="1"/>
    <xf numFmtId="0" fontId="0" fillId="0" borderId="5" xfId="0" applyBorder="1"/>
    <xf numFmtId="0" fontId="1" fillId="0" borderId="1" xfId="1"/>
    <xf numFmtId="165" fontId="0" fillId="4" borderId="5" xfId="0" applyNumberFormat="1" applyFill="1" applyBorder="1"/>
    <xf numFmtId="165" fontId="0" fillId="0" borderId="5" xfId="0" applyNumberFormat="1" applyBorder="1"/>
    <xf numFmtId="0" fontId="11" fillId="0" borderId="0" xfId="0" applyFont="1"/>
    <xf numFmtId="0" fontId="0" fillId="7" borderId="0" xfId="0" applyFill="1"/>
    <xf numFmtId="0" fontId="6" fillId="7" borderId="6" xfId="0" applyFont="1" applyFill="1" applyBorder="1"/>
    <xf numFmtId="0" fontId="4" fillId="7" borderId="7" xfId="0" applyFont="1" applyFill="1" applyBorder="1"/>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10" xfId="0" applyFont="1" applyFill="1" applyBorder="1" applyAlignment="1">
      <alignment horizontal="center" wrapText="1"/>
    </xf>
    <xf numFmtId="0" fontId="4" fillId="7" borderId="11" xfId="0" applyFont="1" applyFill="1" applyBorder="1" applyAlignment="1">
      <alignment horizontal="center"/>
    </xf>
    <xf numFmtId="0" fontId="4" fillId="7" borderId="0" xfId="0" applyFont="1" applyFill="1"/>
    <xf numFmtId="0" fontId="0" fillId="7" borderId="12"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164" fontId="0" fillId="7" borderId="11" xfId="0" applyNumberFormat="1" applyFill="1" applyBorder="1" applyAlignment="1">
      <alignment horizontal="center"/>
    </xf>
    <xf numFmtId="0" fontId="7" fillId="7" borderId="0" xfId="0" applyFont="1" applyFill="1"/>
    <xf numFmtId="0" fontId="4" fillId="7" borderId="16" xfId="0" applyFont="1" applyFill="1" applyBorder="1"/>
    <xf numFmtId="0" fontId="7" fillId="7" borderId="16" xfId="0" applyFont="1" applyFill="1" applyBorder="1"/>
    <xf numFmtId="0" fontId="0" fillId="7" borderId="1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164" fontId="0" fillId="7" borderId="11" xfId="0" quotePrefix="1" applyNumberFormat="1" applyFill="1" applyBorder="1" applyAlignment="1">
      <alignment horizontal="center"/>
    </xf>
    <xf numFmtId="0" fontId="4" fillId="7" borderId="21" xfId="0" applyFont="1" applyFill="1" applyBorder="1"/>
    <xf numFmtId="0" fontId="7" fillId="7" borderId="21" xfId="0" applyFont="1" applyFill="1" applyBorder="1"/>
    <xf numFmtId="0" fontId="0" fillId="7" borderId="22" xfId="0" applyFill="1" applyBorder="1" applyAlignment="1">
      <alignment horizontal="center"/>
    </xf>
    <xf numFmtId="0" fontId="0" fillId="7" borderId="23" xfId="0" applyFill="1" applyBorder="1" applyAlignment="1">
      <alignment horizontal="center"/>
    </xf>
    <xf numFmtId="0" fontId="0" fillId="7" borderId="24" xfId="0" applyFill="1" applyBorder="1" applyAlignment="1">
      <alignment horizontal="center"/>
    </xf>
    <xf numFmtId="0" fontId="0" fillId="7" borderId="11" xfId="0" applyFill="1" applyBorder="1" applyAlignment="1">
      <alignment horizontal="center"/>
    </xf>
    <xf numFmtId="164" fontId="0" fillId="7" borderId="25" xfId="0" applyNumberFormat="1" applyFill="1" applyBorder="1" applyAlignment="1">
      <alignment horizontal="center"/>
    </xf>
    <xf numFmtId="0" fontId="0" fillId="7" borderId="16" xfId="0" applyFill="1" applyBorder="1"/>
    <xf numFmtId="164" fontId="7" fillId="7" borderId="11" xfId="0" quotePrefix="1" applyNumberFormat="1" applyFont="1" applyFill="1" applyBorder="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4" fontId="4" fillId="7" borderId="26" xfId="0" applyNumberFormat="1" applyFont="1" applyFill="1" applyBorder="1" applyAlignment="1">
      <alignment horizontal="center"/>
    </xf>
    <xf numFmtId="0" fontId="3" fillId="3" borderId="3" xfId="0" applyFont="1" applyFill="1" applyBorder="1" applyAlignment="1">
      <alignment wrapText="1"/>
    </xf>
    <xf numFmtId="0" fontId="3" fillId="3" borderId="4" xfId="0" applyFont="1" applyFill="1" applyBorder="1" applyAlignment="1">
      <alignment wrapText="1"/>
    </xf>
    <xf numFmtId="0" fontId="3" fillId="3" borderId="5" xfId="0" applyFont="1" applyFill="1" applyBorder="1" applyAlignment="1">
      <alignment wrapText="1"/>
    </xf>
    <xf numFmtId="0" fontId="0" fillId="0" borderId="0" xfId="0" applyAlignment="1">
      <alignment wrapText="1"/>
    </xf>
    <xf numFmtId="0" fontId="3" fillId="3" borderId="0" xfId="0" applyFont="1" applyFill="1"/>
    <xf numFmtId="3" fontId="0" fillId="0" borderId="0" xfId="0" applyNumberFormat="1"/>
    <xf numFmtId="0" fontId="0" fillId="4" borderId="4" xfId="0" quotePrefix="1" applyFill="1" applyBorder="1"/>
    <xf numFmtId="0" fontId="12" fillId="6" borderId="0" xfId="0" applyFont="1" applyFill="1"/>
    <xf numFmtId="0" fontId="18" fillId="6" borderId="0" xfId="0" applyFont="1" applyFill="1"/>
    <xf numFmtId="0" fontId="20" fillId="6" borderId="0" xfId="0" applyFont="1" applyFill="1"/>
    <xf numFmtId="0" fontId="23" fillId="6" borderId="0" xfId="0" applyFont="1" applyFill="1"/>
    <xf numFmtId="0" fontId="25" fillId="6" borderId="0" xfId="0" applyFont="1" applyFill="1" applyAlignment="1">
      <alignment horizontal="left" indent="2"/>
    </xf>
    <xf numFmtId="0" fontId="22" fillId="6" borderId="41" xfId="0" applyFont="1" applyFill="1" applyBorder="1"/>
    <xf numFmtId="0" fontId="18" fillId="6" borderId="41" xfId="0" applyFont="1" applyFill="1" applyBorder="1"/>
    <xf numFmtId="3" fontId="0" fillId="4" borderId="3" xfId="0" applyNumberFormat="1" applyFill="1" applyBorder="1"/>
    <xf numFmtId="0" fontId="22" fillId="6" borderId="0" xfId="0" applyFont="1" applyFill="1" applyAlignment="1">
      <alignment wrapText="1"/>
    </xf>
    <xf numFmtId="0" fontId="23" fillId="6" borderId="0" xfId="0" applyFont="1" applyFill="1" applyAlignment="1">
      <alignment wrapText="1"/>
    </xf>
    <xf numFmtId="0" fontId="35" fillId="6" borderId="0" xfId="0" applyFont="1" applyFill="1" applyAlignment="1">
      <alignment horizontal="left" vertical="top"/>
    </xf>
    <xf numFmtId="0" fontId="35" fillId="6" borderId="0" xfId="0" applyFont="1" applyFill="1"/>
    <xf numFmtId="0" fontId="21" fillId="6" borderId="0" xfId="0" applyFont="1" applyFill="1"/>
    <xf numFmtId="3" fontId="0" fillId="0" borderId="3" xfId="0" applyNumberFormat="1" applyBorder="1"/>
    <xf numFmtId="3" fontId="0" fillId="4" borderId="5" xfId="0" applyNumberFormat="1" applyFill="1" applyBorder="1"/>
    <xf numFmtId="0" fontId="18" fillId="8" borderId="0" xfId="0" applyFont="1" applyFill="1"/>
    <xf numFmtId="0" fontId="30" fillId="8" borderId="0" xfId="0" applyFont="1" applyFill="1"/>
    <xf numFmtId="0" fontId="30" fillId="6" borderId="0" xfId="0" applyFont="1" applyFill="1"/>
    <xf numFmtId="0" fontId="19" fillId="6" borderId="0" xfId="0" applyFont="1" applyFill="1"/>
    <xf numFmtId="0" fontId="20" fillId="6" borderId="0" xfId="0" applyFont="1" applyFill="1" applyAlignment="1">
      <alignment vertical="center"/>
    </xf>
    <xf numFmtId="0" fontId="16" fillId="6" borderId="0" xfId="0" applyFont="1" applyFill="1" applyAlignment="1">
      <alignment horizontal="center"/>
    </xf>
    <xf numFmtId="0" fontId="21" fillId="6" borderId="0" xfId="0" applyFont="1" applyFill="1" applyAlignment="1">
      <alignment horizontal="center"/>
    </xf>
    <xf numFmtId="0" fontId="19" fillId="6" borderId="0" xfId="0" applyFont="1" applyFill="1" applyAlignment="1">
      <alignment horizontal="center" vertical="center"/>
    </xf>
    <xf numFmtId="0" fontId="17" fillId="6" borderId="0" xfId="0" applyFont="1" applyFill="1" applyAlignment="1">
      <alignment horizontal="right"/>
    </xf>
    <xf numFmtId="0" fontId="19" fillId="6" borderId="0" xfId="0" applyFont="1" applyFill="1" applyAlignment="1">
      <alignment horizontal="left" vertical="center"/>
    </xf>
    <xf numFmtId="0" fontId="18" fillId="6" borderId="0" xfId="0" applyFont="1" applyFill="1" applyAlignment="1">
      <alignment horizontal="center"/>
    </xf>
    <xf numFmtId="0" fontId="19" fillId="6" borderId="0" xfId="0" applyFont="1" applyFill="1" applyAlignment="1">
      <alignment horizontal="center"/>
    </xf>
    <xf numFmtId="0" fontId="5" fillId="6" borderId="0" xfId="0" applyFont="1" applyFill="1"/>
    <xf numFmtId="0" fontId="19" fillId="6" borderId="0" xfId="0" applyFont="1" applyFill="1" applyAlignment="1">
      <alignment horizontal="left" indent="2"/>
    </xf>
    <xf numFmtId="0" fontId="19" fillId="6" borderId="0" xfId="0" applyFont="1" applyFill="1" applyAlignment="1">
      <alignment horizontal="left" indent="1"/>
    </xf>
    <xf numFmtId="0" fontId="16" fillId="6" borderId="0" xfId="0" applyFont="1" applyFill="1"/>
    <xf numFmtId="0" fontId="24" fillId="6" borderId="0" xfId="0" applyFont="1" applyFill="1" applyAlignment="1">
      <alignment horizontal="center"/>
    </xf>
    <xf numFmtId="0" fontId="19" fillId="6" borderId="32" xfId="0" applyFont="1" applyFill="1" applyBorder="1" applyAlignment="1">
      <alignment horizontal="left" indent="1"/>
    </xf>
    <xf numFmtId="0" fontId="19" fillId="6" borderId="32" xfId="0" applyFont="1" applyFill="1" applyBorder="1"/>
    <xf numFmtId="0" fontId="20" fillId="6" borderId="32" xfId="0" applyFont="1" applyFill="1" applyBorder="1"/>
    <xf numFmtId="3" fontId="27" fillId="6" borderId="37" xfId="0" applyNumberFormat="1" applyFont="1" applyFill="1" applyBorder="1" applyAlignment="1">
      <alignment horizontal="right"/>
    </xf>
    <xf numFmtId="3" fontId="27" fillId="6" borderId="0" xfId="0" applyNumberFormat="1" applyFont="1" applyFill="1" applyAlignment="1">
      <alignment horizontal="right"/>
    </xf>
    <xf numFmtId="0" fontId="19" fillId="6" borderId="36" xfId="0" applyFont="1" applyFill="1" applyBorder="1" applyAlignment="1">
      <alignment horizontal="left" indent="1"/>
    </xf>
    <xf numFmtId="0" fontId="19" fillId="6" borderId="36" xfId="0" applyFont="1" applyFill="1" applyBorder="1"/>
    <xf numFmtId="0" fontId="20" fillId="6" borderId="36" xfId="0" applyFont="1" applyFill="1" applyBorder="1"/>
    <xf numFmtId="3" fontId="34" fillId="6" borderId="37" xfId="0" applyNumberFormat="1" applyFont="1" applyFill="1" applyBorder="1" applyAlignment="1">
      <alignment horizontal="right"/>
    </xf>
    <xf numFmtId="0" fontId="19" fillId="6" borderId="40" xfId="0" applyFont="1" applyFill="1" applyBorder="1" applyAlignment="1">
      <alignment horizontal="left" indent="1"/>
    </xf>
    <xf numFmtId="0" fontId="19" fillId="6" borderId="40" xfId="0" applyFont="1" applyFill="1" applyBorder="1"/>
    <xf numFmtId="0" fontId="20" fillId="6" borderId="40" xfId="0" applyFont="1" applyFill="1" applyBorder="1"/>
    <xf numFmtId="3" fontId="27" fillId="6" borderId="35" xfId="0" applyNumberFormat="1" applyFont="1" applyFill="1" applyBorder="1" applyAlignment="1">
      <alignment horizontal="right"/>
    </xf>
    <xf numFmtId="0" fontId="29" fillId="6" borderId="0" xfId="0" applyFont="1" applyFill="1"/>
    <xf numFmtId="3" fontId="28" fillId="6" borderId="39" xfId="0" applyNumberFormat="1" applyFont="1" applyFill="1" applyBorder="1" applyAlignment="1">
      <alignment horizontal="right"/>
    </xf>
    <xf numFmtId="3" fontId="28" fillId="6" borderId="0" xfId="0" applyNumberFormat="1" applyFont="1" applyFill="1" applyAlignment="1">
      <alignment horizontal="right"/>
    </xf>
    <xf numFmtId="3" fontId="0" fillId="4" borderId="4" xfId="0" applyNumberFormat="1" applyFill="1" applyBorder="1"/>
    <xf numFmtId="3" fontId="0" fillId="0" borderId="4" xfId="0" applyNumberFormat="1" applyBorder="1"/>
    <xf numFmtId="165" fontId="0" fillId="0" borderId="0" xfId="0" applyNumberFormat="1"/>
    <xf numFmtId="167" fontId="0" fillId="0" borderId="0" xfId="0" quotePrefix="1" applyNumberFormat="1"/>
    <xf numFmtId="0" fontId="23" fillId="6" borderId="0" xfId="0" applyFont="1" applyFill="1" applyAlignment="1">
      <alignment vertical="top" wrapText="1"/>
    </xf>
    <xf numFmtId="0" fontId="23" fillId="6" borderId="0" xfId="0" quotePrefix="1" applyFont="1" applyFill="1"/>
    <xf numFmtId="0" fontId="23" fillId="6" borderId="0" xfId="0" quotePrefix="1" applyFont="1" applyFill="1" applyAlignment="1">
      <alignment vertical="top"/>
    </xf>
    <xf numFmtId="0" fontId="18" fillId="6" borderId="0" xfId="0" applyFont="1" applyFill="1" applyAlignment="1">
      <alignment vertical="top"/>
    </xf>
    <xf numFmtId="0" fontId="0" fillId="7" borderId="0" xfId="0" applyFill="1" applyAlignment="1">
      <alignment vertical="top"/>
    </xf>
    <xf numFmtId="10" fontId="0" fillId="0" borderId="0" xfId="3" applyNumberFormat="1" applyFont="1"/>
    <xf numFmtId="10" fontId="0" fillId="4" borderId="5" xfId="3" applyNumberFormat="1" applyFont="1" applyFill="1" applyBorder="1"/>
    <xf numFmtId="10" fontId="0" fillId="0" borderId="5" xfId="3" applyNumberFormat="1" applyFont="1" applyBorder="1"/>
    <xf numFmtId="0" fontId="38" fillId="6" borderId="0" xfId="0" applyFont="1" applyFill="1"/>
    <xf numFmtId="0" fontId="39" fillId="6" borderId="0" xfId="0" applyFont="1" applyFill="1"/>
    <xf numFmtId="0" fontId="40" fillId="6" borderId="0" xfId="0" applyFont="1" applyFill="1"/>
    <xf numFmtId="0" fontId="42" fillId="6" borderId="0" xfId="0" applyFont="1" applyFill="1"/>
    <xf numFmtId="0" fontId="31" fillId="10" borderId="0" xfId="0" applyFont="1" applyFill="1"/>
    <xf numFmtId="0" fontId="32" fillId="10" borderId="0" xfId="0" applyFont="1" applyFill="1"/>
    <xf numFmtId="0" fontId="5" fillId="10" borderId="0" xfId="0" applyFont="1" applyFill="1"/>
    <xf numFmtId="0" fontId="33" fillId="10" borderId="0" xfId="0" applyFont="1" applyFill="1" applyAlignment="1">
      <alignment vertical="center"/>
    </xf>
    <xf numFmtId="166" fontId="13" fillId="12" borderId="0" xfId="5" applyNumberFormat="1" applyFont="1" applyFill="1" applyBorder="1" applyAlignment="1" applyProtection="1"/>
    <xf numFmtId="0" fontId="19" fillId="12" borderId="0" xfId="0" applyFont="1" applyFill="1"/>
    <xf numFmtId="0" fontId="45" fillId="6" borderId="34" xfId="0" applyFont="1" applyFill="1" applyBorder="1" applyAlignment="1">
      <alignment horizontal="left"/>
    </xf>
    <xf numFmtId="0" fontId="46" fillId="6" borderId="34" xfId="0" applyFont="1" applyFill="1" applyBorder="1"/>
    <xf numFmtId="0" fontId="40" fillId="6" borderId="34" xfId="0" applyFont="1" applyFill="1" applyBorder="1"/>
    <xf numFmtId="0" fontId="23" fillId="13" borderId="0" xfId="0" applyFont="1" applyFill="1"/>
    <xf numFmtId="0" fontId="23" fillId="12" borderId="0" xfId="0" applyFont="1" applyFill="1" applyAlignment="1">
      <alignment vertical="top" wrapText="1"/>
    </xf>
    <xf numFmtId="0" fontId="23" fillId="11" borderId="0" xfId="0" applyFont="1" applyFill="1" applyAlignment="1">
      <alignment vertical="top" wrapText="1"/>
    </xf>
    <xf numFmtId="0" fontId="22" fillId="6" borderId="0" xfId="0" applyFont="1" applyFill="1" applyAlignment="1">
      <alignment horizontal="left" vertical="top" wrapText="1"/>
    </xf>
    <xf numFmtId="0" fontId="23" fillId="6" borderId="0" xfId="0" applyFont="1" applyFill="1" applyAlignment="1">
      <alignment horizontal="left" wrapText="1"/>
    </xf>
    <xf numFmtId="0" fontId="23" fillId="6" borderId="0" xfId="0" applyFont="1" applyFill="1" applyAlignment="1">
      <alignment horizontal="left" vertical="top" wrapText="1"/>
    </xf>
    <xf numFmtId="0" fontId="23" fillId="6" borderId="0" xfId="0" applyFont="1" applyFill="1" applyAlignment="1">
      <alignment horizontal="left" vertical="center" wrapText="1"/>
    </xf>
    <xf numFmtId="9" fontId="28" fillId="6" borderId="33" xfId="3" applyFont="1" applyFill="1" applyBorder="1" applyAlignment="1" applyProtection="1">
      <alignment horizontal="right"/>
    </xf>
    <xf numFmtId="9" fontId="28" fillId="6" borderId="34" xfId="3" applyFont="1" applyFill="1" applyBorder="1" applyAlignment="1" applyProtection="1">
      <alignment horizontal="right"/>
    </xf>
    <xf numFmtId="9" fontId="27" fillId="6" borderId="38" xfId="3" applyFont="1" applyFill="1" applyBorder="1" applyAlignment="1" applyProtection="1">
      <alignment horizontal="right"/>
    </xf>
    <xf numFmtId="9" fontId="27" fillId="6" borderId="32" xfId="3" applyFont="1" applyFill="1" applyBorder="1" applyAlignment="1" applyProtection="1">
      <alignment horizontal="right"/>
    </xf>
    <xf numFmtId="165" fontId="27" fillId="6" borderId="38" xfId="0" applyNumberFormat="1" applyFont="1" applyFill="1" applyBorder="1" applyAlignment="1">
      <alignment horizontal="right"/>
    </xf>
    <xf numFmtId="165" fontId="27" fillId="6" borderId="32" xfId="0" applyNumberFormat="1" applyFont="1" applyFill="1" applyBorder="1" applyAlignment="1">
      <alignment horizontal="right"/>
    </xf>
    <xf numFmtId="165" fontId="47" fillId="6" borderId="33" xfId="0" applyNumberFormat="1" applyFont="1" applyFill="1" applyBorder="1" applyAlignment="1">
      <alignment horizontal="right"/>
    </xf>
    <xf numFmtId="165" fontId="47" fillId="6" borderId="34" xfId="0" applyNumberFormat="1" applyFont="1" applyFill="1" applyBorder="1" applyAlignment="1">
      <alignment horizontal="right"/>
    </xf>
    <xf numFmtId="0" fontId="44" fillId="6" borderId="31" xfId="0" applyFont="1" applyFill="1" applyBorder="1" applyAlignment="1">
      <alignment horizontal="center"/>
    </xf>
    <xf numFmtId="0" fontId="44" fillId="6" borderId="0" xfId="0" applyFont="1" applyFill="1" applyAlignment="1">
      <alignment horizontal="center"/>
    </xf>
    <xf numFmtId="0" fontId="44" fillId="6" borderId="35" xfId="0" applyFont="1" applyFill="1" applyBorder="1" applyAlignment="1">
      <alignment horizontal="center"/>
    </xf>
    <xf numFmtId="0" fontId="20" fillId="6" borderId="32" xfId="0" applyFont="1" applyFill="1" applyBorder="1" applyAlignment="1">
      <alignment horizontal="center"/>
    </xf>
    <xf numFmtId="0" fontId="20" fillId="6" borderId="37" xfId="0" applyFont="1" applyFill="1" applyBorder="1" applyAlignment="1">
      <alignment horizontal="center"/>
    </xf>
    <xf numFmtId="166" fontId="13" fillId="12" borderId="0" xfId="5" applyNumberFormat="1" applyFont="1" applyFill="1" applyBorder="1" applyAlignment="1" applyProtection="1">
      <alignment horizontal="center"/>
    </xf>
    <xf numFmtId="166" fontId="36" fillId="11" borderId="42" xfId="5" applyNumberFormat="1" applyFont="1" applyFill="1" applyBorder="1" applyAlignment="1" applyProtection="1">
      <alignment horizontal="center"/>
    </xf>
    <xf numFmtId="166" fontId="36" fillId="11" borderId="43" xfId="5" applyNumberFormat="1" applyFont="1" applyFill="1" applyBorder="1" applyAlignment="1" applyProtection="1">
      <alignment horizontal="center"/>
    </xf>
    <xf numFmtId="166" fontId="36" fillId="11" borderId="44" xfId="5" applyNumberFormat="1" applyFont="1" applyFill="1" applyBorder="1" applyAlignment="1" applyProtection="1">
      <alignment horizontal="center"/>
    </xf>
    <xf numFmtId="0" fontId="19" fillId="6" borderId="0" xfId="0" applyFont="1" applyFill="1" applyAlignment="1">
      <alignment horizontal="center"/>
    </xf>
    <xf numFmtId="0" fontId="19" fillId="6" borderId="45" xfId="0" applyFont="1" applyFill="1" applyBorder="1" applyAlignment="1">
      <alignment horizontal="center" vertical="center"/>
    </xf>
    <xf numFmtId="0" fontId="19" fillId="6" borderId="0" xfId="0" applyFont="1" applyFill="1" applyAlignment="1">
      <alignment horizontal="center" vertical="center"/>
    </xf>
    <xf numFmtId="3" fontId="16" fillId="11" borderId="46" xfId="4" applyNumberFormat="1" applyFont="1" applyFill="1" applyBorder="1" applyAlignment="1" applyProtection="1">
      <alignment horizontal="right"/>
    </xf>
    <xf numFmtId="3" fontId="16" fillId="12" borderId="46" xfId="5" applyNumberFormat="1" applyFont="1" applyFill="1" applyBorder="1" applyAlignment="1" applyProtection="1">
      <alignment horizontal="right"/>
      <protection locked="0"/>
    </xf>
    <xf numFmtId="166" fontId="13" fillId="12" borderId="42" xfId="5" applyNumberFormat="1" applyFont="1" applyFill="1" applyBorder="1" applyAlignment="1" applyProtection="1">
      <alignment horizontal="center"/>
    </xf>
    <xf numFmtId="166" fontId="13" fillId="12" borderId="43" xfId="5" applyNumberFormat="1" applyFont="1" applyFill="1" applyBorder="1" applyAlignment="1" applyProtection="1">
      <alignment horizontal="center"/>
    </xf>
    <xf numFmtId="166" fontId="13" fillId="12" borderId="44" xfId="5" applyNumberFormat="1" applyFont="1" applyFill="1" applyBorder="1" applyAlignment="1" applyProtection="1">
      <alignment horizontal="center"/>
    </xf>
    <xf numFmtId="0" fontId="43" fillId="6" borderId="0" xfId="0" applyFont="1" applyFill="1" applyAlignment="1">
      <alignment horizontal="center" wrapText="1"/>
    </xf>
    <xf numFmtId="0" fontId="23" fillId="6" borderId="0" xfId="0" applyFont="1" applyFill="1" applyAlignment="1">
      <alignment horizontal="center" wrapText="1"/>
    </xf>
    <xf numFmtId="0" fontId="13" fillId="6" borderId="0" xfId="0" applyFont="1" applyFill="1" applyAlignment="1">
      <alignment horizontal="center"/>
    </xf>
    <xf numFmtId="0" fontId="43" fillId="6" borderId="0" xfId="0" applyFont="1" applyFill="1" applyAlignment="1">
      <alignment horizontal="center"/>
    </xf>
    <xf numFmtId="0" fontId="43" fillId="6" borderId="35" xfId="0" applyFont="1" applyFill="1" applyBorder="1" applyAlignment="1">
      <alignment horizontal="center"/>
    </xf>
    <xf numFmtId="0" fontId="23" fillId="12" borderId="42" xfId="0" applyFont="1" applyFill="1" applyBorder="1" applyAlignment="1" applyProtection="1">
      <alignment horizontal="left" vertical="center"/>
      <protection locked="0"/>
    </xf>
    <xf numFmtId="0" fontId="23" fillId="12" borderId="43" xfId="0" applyFont="1" applyFill="1" applyBorder="1" applyAlignment="1" applyProtection="1">
      <alignment horizontal="left" vertical="center"/>
      <protection locked="0"/>
    </xf>
    <xf numFmtId="0" fontId="23" fillId="12" borderId="44" xfId="0" applyFont="1" applyFill="1" applyBorder="1" applyAlignment="1" applyProtection="1">
      <alignment horizontal="left" vertical="center"/>
      <protection locked="0"/>
    </xf>
    <xf numFmtId="168" fontId="48" fillId="11" borderId="0" xfId="0" applyNumberFormat="1" applyFont="1" applyFill="1" applyAlignment="1">
      <alignment horizontal="center" vertical="center"/>
    </xf>
    <xf numFmtId="0" fontId="38" fillId="6" borderId="0" xfId="0" applyFont="1" applyFill="1" applyAlignment="1">
      <alignment horizontal="left" vertical="center" wrapText="1"/>
    </xf>
    <xf numFmtId="3" fontId="45" fillId="13" borderId="46" xfId="2" applyNumberFormat="1" applyFont="1" applyFill="1" applyBorder="1" applyAlignment="1" applyProtection="1">
      <alignment horizontal="right"/>
      <protection locked="0"/>
    </xf>
    <xf numFmtId="0" fontId="19" fillId="6" borderId="0" xfId="0" applyFont="1" applyFill="1" applyAlignment="1">
      <alignment horizontal="left" vertical="center"/>
    </xf>
    <xf numFmtId="0" fontId="18" fillId="6" borderId="0" xfId="0" applyFont="1" applyFill="1" applyAlignment="1">
      <alignment horizontal="center"/>
    </xf>
  </cellXfs>
  <cellStyles count="6">
    <cellStyle name="Calculation" xfId="4" builtinId="22"/>
    <cellStyle name="Heading 2" xfId="1" builtinId="17"/>
    <cellStyle name="Input" xfId="2" builtinId="20"/>
    <cellStyle name="Normal" xfId="0" builtinId="0"/>
    <cellStyle name="Note" xfId="5" builtinId="10"/>
    <cellStyle name="Percent" xfId="3" builtinId="5"/>
  </cellStyles>
  <dxfs count="0"/>
  <tableStyles count="0" defaultTableStyle="TableStyleMedium2" defaultPivotStyle="PivotStyleLight16"/>
  <colors>
    <mruColors>
      <color rgb="FFFFFFFF"/>
      <color rgb="FFF1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Kuva!$I$1</c:f>
              <c:strCache>
                <c:ptCount val="1"/>
                <c:pt idx="0">
                  <c:v>Kivi- ja mineraalipohjaiset materiaalit</c:v>
                </c:pt>
              </c:strCache>
            </c:strRef>
          </c:tx>
          <c:spPr>
            <a:solidFill>
              <a:schemeClr val="accent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Kuva!$I$2:$I$14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92A9-4A82-A2E4-A15BB4B826DE}"/>
            </c:ext>
          </c:extLst>
        </c:ser>
        <c:ser>
          <c:idx val="1"/>
          <c:order val="1"/>
          <c:tx>
            <c:strRef>
              <c:f>Kuva!$J$1</c:f>
              <c:strCache>
                <c:ptCount val="1"/>
                <c:pt idx="0">
                  <c:v>Eristeet</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Kuva!$J$2:$J$14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1-92A9-4A82-A2E4-A15BB4B826DE}"/>
            </c:ext>
          </c:extLst>
        </c:ser>
        <c:ser>
          <c:idx val="2"/>
          <c:order val="2"/>
          <c:tx>
            <c:strRef>
              <c:f>Kuva!$K$1</c:f>
              <c:strCache>
                <c:ptCount val="1"/>
                <c:pt idx="0">
                  <c:v>Orgaaniset materiaalit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Kuva!$K$2:$K$14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92A9-4A82-A2E4-A15BB4B826DE}"/>
            </c:ext>
          </c:extLst>
        </c:ser>
        <c:ser>
          <c:idx val="3"/>
          <c:order val="3"/>
          <c:tx>
            <c:strRef>
              <c:f>Kuva!$L$1</c:f>
              <c:strCache>
                <c:ptCount val="1"/>
                <c:pt idx="0">
                  <c:v>Metallit</c:v>
                </c:pt>
              </c:strCache>
            </c:strRef>
          </c:tx>
          <c:spPr>
            <a:solidFill>
              <a:schemeClr val="tx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Kuva!$L$2:$L$14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92A9-4A82-A2E4-A15BB4B826DE}"/>
            </c:ext>
          </c:extLst>
        </c:ser>
        <c:ser>
          <c:idx val="4"/>
          <c:order val="4"/>
          <c:tx>
            <c:strRef>
              <c:f>Kuva!$M$1</c:f>
              <c:strCache>
                <c:ptCount val="1"/>
                <c:pt idx="0">
                  <c:v>Synteettiset ja muovipohjaiset materiaalit</c:v>
                </c:pt>
              </c:strCache>
            </c:strRef>
          </c:tx>
          <c:spPr>
            <a:solidFill>
              <a:schemeClr val="accent4">
                <a:lumMod val="7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Kuva!$M$2:$M$14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4-92A9-4A82-A2E4-A15BB4B826DE}"/>
            </c:ext>
          </c:extLst>
        </c:ser>
        <c:ser>
          <c:idx val="5"/>
          <c:order val="5"/>
          <c:tx>
            <c:strRef>
              <c:f>Kuva!$N$1</c:f>
              <c:strCache>
                <c:ptCount val="1"/>
                <c:pt idx="0">
                  <c:v>Sekalaiset ja muut materiaalit</c:v>
                </c:pt>
              </c:strCache>
            </c:strRef>
          </c:tx>
          <c:spPr>
            <a:solidFill>
              <a:schemeClr val="accent6"/>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Kuva!$N$2:$N$14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5-92A9-4A82-A2E4-A15BB4B826DE}"/>
            </c:ext>
          </c:extLst>
        </c:ser>
        <c:dLbls>
          <c:showLegendKey val="0"/>
          <c:showVal val="0"/>
          <c:showCatName val="0"/>
          <c:showSerName val="0"/>
          <c:showPercent val="0"/>
          <c:showBubbleSize val="0"/>
        </c:dLbls>
        <c:gapWidth val="0"/>
        <c:overlap val="100"/>
        <c:axId val="489961935"/>
        <c:axId val="489962415"/>
      </c:barChart>
      <c:catAx>
        <c:axId val="489961935"/>
        <c:scaling>
          <c:orientation val="maxMin"/>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fi-FI"/>
          </a:p>
        </c:txPr>
        <c:crossAx val="489962415"/>
        <c:crosses val="autoZero"/>
        <c:auto val="1"/>
        <c:lblAlgn val="ctr"/>
        <c:lblOffset val="100"/>
        <c:noMultiLvlLbl val="0"/>
      </c:catAx>
      <c:valAx>
        <c:axId val="489962415"/>
        <c:scaling>
          <c:orientation val="minMax"/>
        </c:scaling>
        <c:delete val="0"/>
        <c:axPos val="t"/>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high"/>
        <c:spPr>
          <a:noFill/>
          <a:ln>
            <a:solidFill>
              <a:schemeClr val="bg1"/>
            </a:solid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fi-FI"/>
          </a:p>
        </c:txPr>
        <c:crossAx val="48996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Kuva!$I$1</c:f>
              <c:strCache>
                <c:ptCount val="1"/>
                <c:pt idx="0">
                  <c:v>Kivi- ja mineraalipohjaiset materiaalit</c:v>
                </c:pt>
              </c:strCache>
            </c:strRef>
          </c:tx>
          <c:spPr>
            <a:solidFill>
              <a:schemeClr val="accent1"/>
            </a:solidFill>
            <a:ln>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Kuva!$I$2:$I$14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42B3-4F27-9B67-AFF5D669949A}"/>
            </c:ext>
          </c:extLst>
        </c:ser>
        <c:ser>
          <c:idx val="1"/>
          <c:order val="1"/>
          <c:tx>
            <c:strRef>
              <c:f>Kuva!$J$1</c:f>
              <c:strCache>
                <c:ptCount val="1"/>
                <c:pt idx="0">
                  <c:v>Eristeet</c:v>
                </c:pt>
              </c:strCache>
            </c:strRef>
          </c:tx>
          <c:spPr>
            <a:solidFill>
              <a:schemeClr val="accent3"/>
            </a:solidFill>
            <a:ln>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Kuva!$J$2:$J$14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1-42B3-4F27-9B67-AFF5D669949A}"/>
            </c:ext>
          </c:extLst>
        </c:ser>
        <c:ser>
          <c:idx val="2"/>
          <c:order val="2"/>
          <c:tx>
            <c:strRef>
              <c:f>Kuva!$K$1</c:f>
              <c:strCache>
                <c:ptCount val="1"/>
                <c:pt idx="0">
                  <c:v>Orgaaniset materiaalit</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Kuva!$K$2:$K$14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42B3-4F27-9B67-AFF5D669949A}"/>
            </c:ext>
          </c:extLst>
        </c:ser>
        <c:ser>
          <c:idx val="3"/>
          <c:order val="3"/>
          <c:tx>
            <c:strRef>
              <c:f>Kuva!$L$1</c:f>
              <c:strCache>
                <c:ptCount val="1"/>
                <c:pt idx="0">
                  <c:v>Metallit</c:v>
                </c:pt>
              </c:strCache>
            </c:strRef>
          </c:tx>
          <c:spPr>
            <a:solidFill>
              <a:schemeClr val="tx2"/>
            </a:solidFill>
            <a:ln>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Kuva!$L$2:$L$14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42B3-4F27-9B67-AFF5D669949A}"/>
            </c:ext>
          </c:extLst>
        </c:ser>
        <c:ser>
          <c:idx val="4"/>
          <c:order val="4"/>
          <c:tx>
            <c:strRef>
              <c:f>Kuva!$M$1</c:f>
              <c:strCache>
                <c:ptCount val="1"/>
                <c:pt idx="0">
                  <c:v>Synteettiset ja muovipohjaiset materiaalit</c:v>
                </c:pt>
              </c:strCache>
            </c:strRef>
          </c:tx>
          <c:spPr>
            <a:solidFill>
              <a:schemeClr val="accent4"/>
            </a:solidFill>
            <a:ln>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Kuva!$M$2:$M$14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4-42B3-4F27-9B67-AFF5D669949A}"/>
            </c:ext>
          </c:extLst>
        </c:ser>
        <c:ser>
          <c:idx val="5"/>
          <c:order val="5"/>
          <c:tx>
            <c:strRef>
              <c:f>Kuva!$N$1</c:f>
              <c:strCache>
                <c:ptCount val="1"/>
                <c:pt idx="0">
                  <c:v>Sekalaiset ja muut materiaalit</c:v>
                </c:pt>
              </c:strCache>
            </c:strRef>
          </c:tx>
          <c:spPr>
            <a:solidFill>
              <a:schemeClr val="accent6"/>
            </a:solidFill>
            <a:ln>
              <a:solidFill>
                <a:schemeClr val="bg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Kuva!$H$2:$H$14</c:f>
              <c:strCach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strCache>
            </c:strRef>
          </c:cat>
          <c:val>
            <c:numRef>
              <c:f>Kuva!$N$2:$N$14</c:f>
              <c:numCache>
                <c:formatCode>#\ ##0.0" ton"</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5-42B3-4F27-9B67-AFF5D669949A}"/>
            </c:ext>
          </c:extLst>
        </c:ser>
        <c:dLbls>
          <c:showLegendKey val="0"/>
          <c:showVal val="0"/>
          <c:showCatName val="0"/>
          <c:showSerName val="0"/>
          <c:showPercent val="0"/>
          <c:showBubbleSize val="0"/>
        </c:dLbls>
        <c:gapWidth val="0"/>
        <c:overlap val="100"/>
        <c:axId val="489961935"/>
        <c:axId val="489962415"/>
      </c:barChart>
      <c:catAx>
        <c:axId val="489961935"/>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489962415"/>
        <c:crosses val="autoZero"/>
        <c:auto val="1"/>
        <c:lblAlgn val="ctr"/>
        <c:lblOffset val="100"/>
        <c:noMultiLvlLbl val="0"/>
      </c:catAx>
      <c:valAx>
        <c:axId val="489962415"/>
        <c:scaling>
          <c:orientation val="minMax"/>
        </c:scaling>
        <c:delete val="0"/>
        <c:axPos val="l"/>
        <c:majorGridlines>
          <c:spPr>
            <a:ln w="9525" cap="flat" cmpd="sng" algn="ctr">
              <a:solidFill>
                <a:schemeClr val="tx1">
                  <a:lumMod val="15000"/>
                  <a:lumOff val="85000"/>
                </a:schemeClr>
              </a:solidFill>
              <a:round/>
            </a:ln>
            <a:effectLst/>
          </c:spPr>
        </c:majorGridlines>
        <c:numFmt formatCode="#\ ##0.0&quot; ton&quot;"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48996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Tiedot!$B$12" fmlaRange="Apu!$A$17:$A$22" noThreeD="1" sel="0" val="0"/>
</file>

<file path=xl/ctrlProps/ctrlProp2.xml><?xml version="1.0" encoding="utf-8"?>
<formControlPr xmlns="http://schemas.microsoft.com/office/spreadsheetml/2009/9/main" objectType="Drop" dropLines="15" dropStyle="combo" dx="22" fmlaLink="Tiedot!$B$8" fmlaRange="Apu!$E$3:$E$24" noThreeD="1" sel="0" val="0"/>
</file>

<file path=xl/ctrlProps/ctrlProp3.xml><?xml version="1.0" encoding="utf-8"?>
<formControlPr xmlns="http://schemas.microsoft.com/office/spreadsheetml/2009/9/main" objectType="Drop" dropLines="10" dropStyle="combo" dx="22" fmlaLink="Tiedot!$B$4" fmlaRange="Apu!$C$3:$C$6" noThreeD="1" sel="0" val="0"/>
</file>

<file path=xl/ctrlProps/ctrlProp4.xml><?xml version="1.0" encoding="utf-8"?>
<formControlPr xmlns="http://schemas.microsoft.com/office/spreadsheetml/2009/9/main" objectType="Drop" dropLines="10" dropStyle="combo" dx="22" fmlaLink="Tiedot!$B$18" fmlaRange="Apu!$A$26:$A$29" noThreeD="1" sel="0" val="0"/>
</file>

<file path=xl/ctrlProps/ctrlProp5.xml><?xml version="1.0" encoding="utf-8"?>
<formControlPr xmlns="http://schemas.microsoft.com/office/spreadsheetml/2009/9/main" objectType="Drop" dropStyle="combo" dx="22" fmlaLink="Tiedot!$B$14" fmlaRange="Apu!$A$17:$A$22" noThreeD="1" sel="0" val="0"/>
</file>

<file path=xl/ctrlProps/ctrlProp6.xml><?xml version="1.0" encoding="utf-8"?>
<formControlPr xmlns="http://schemas.microsoft.com/office/spreadsheetml/2009/9/main" objectType="Drop" dropLines="10" dropStyle="combo" dx="22" fmlaLink="Tiedot!$B$16" fmlaRange="Apu!$A$26:$A$29" noThreeD="1" sel="0" val="0"/>
</file>

<file path=xl/ctrlProps/ctrlProp7.xml><?xml version="1.0" encoding="utf-8"?>
<formControlPr xmlns="http://schemas.microsoft.com/office/spreadsheetml/2009/9/main" objectType="Drop" dropLines="4" dropStyle="combo" dx="22" fmlaLink="Tiedot!$B$21" fmlaRange="Apu!$A$51:$A$54" noThreeD="1" sel="0" val="0"/>
</file>

<file path=xl/ctrlProps/ctrlProp8.xml><?xml version="1.0" encoding="utf-8"?>
<formControlPr xmlns="http://schemas.microsoft.com/office/spreadsheetml/2009/9/main" objectType="Drop" dropStyle="combo" dx="22" fmlaLink="Tiedot!$B$20" fmlaRange="Apu!$A$38:$A$39" noThreeD="1" sel="0" val="0"/>
</file>

<file path=xl/ctrlProps/ctrlProp9.xml><?xml version="1.0" encoding="utf-8"?>
<formControlPr xmlns="http://schemas.microsoft.com/office/spreadsheetml/2009/9/main" objectType="Drop" dropLines="4" dropStyle="combo" dx="22" fmlaLink="Tiedot!$B$9" fmlaRange="Apu!$A$68:$A$71" noThreeD="1" sel="0" val="0"/>
</file>

<file path=xl/ctrlProps/ctrlProp10.xml><?xml version="1.0" encoding="utf-8"?>
<formControlPr xmlns="http://schemas.microsoft.com/office/spreadsheetml/2009/9/main" objectType="Scroll" dx="22" fmlaLink="Tiedot!$C$22" horiz="1" max="100" page="10" val="0"/>
</file>

<file path=xl/ctrlProps/ctrlProp11.xml><?xml version="1.0" encoding="utf-8"?>
<formControlPr xmlns="http://schemas.microsoft.com/office/spreadsheetml/2009/9/main" objectType="CheckBox" fmlaLink="Tiedot!$B$26" lockText="1" noThreeD="1"/>
</file>

<file path=xl/ctrlProps/ctrlProp12.xml><?xml version="1.0" encoding="utf-8"?>
<formControlPr xmlns="http://schemas.microsoft.com/office/spreadsheetml/2009/9/main" objectType="CheckBox" fmlaLink="Tiedot!$B$27" lockText="1" noThreeD="1"/>
</file>

<file path=xl/ctrlProps/ctrlProp13.xml><?xml version="1.0" encoding="utf-8"?>
<formControlPr xmlns="http://schemas.microsoft.com/office/spreadsheetml/2009/9/main" objectType="CheckBox" fmlaLink="Tiedot!$B$28" lockText="1" noThreeD="1"/>
</file>

<file path=xl/ctrlProps/ctrlProp14.xml><?xml version="1.0" encoding="utf-8"?>
<formControlPr xmlns="http://schemas.microsoft.com/office/spreadsheetml/2009/9/main" objectType="CheckBox" fmlaLink="Tiedot!$B$31" lockText="1" noThreeD="1"/>
</file>

<file path=xl/ctrlProps/ctrlProp15.xml><?xml version="1.0" encoding="utf-8"?>
<formControlPr xmlns="http://schemas.microsoft.com/office/spreadsheetml/2009/9/main" objectType="CheckBox" fmlaLink="Tiedot!$B$32" lockText="1" noThreeD="1"/>
</file>

<file path=xl/ctrlProps/ctrlProp16.xml><?xml version="1.0" encoding="utf-8"?>
<formControlPr xmlns="http://schemas.microsoft.com/office/spreadsheetml/2009/9/main" objectType="Scroll" dx="22" fmlaLink="Tiedot!$C$13" horiz="1" max="100" min="50" page="10" val="100"/>
</file>

<file path=xl/ctrlProps/ctrlProp17.xml><?xml version="1.0" encoding="utf-8"?>
<formControlPr xmlns="http://schemas.microsoft.com/office/spreadsheetml/2009/9/main" objectType="Scroll" dx="22" fmlaLink="Tiedot!$C$17" horiz="1" max="100" min="50" page="10" val="100"/>
</file>

<file path=xl/ctrlProps/ctrlProp18.xml><?xml version="1.0" encoding="utf-8"?>
<formControlPr xmlns="http://schemas.microsoft.com/office/spreadsheetml/2009/9/main" objectType="Drop" dropStyle="combo" dx="22" fmlaLink="Tiedot!$B$33" fmlaRange="Apu!$B$67:$B$70" noThreeD="1" sel="0" val="0"/>
</file>

<file path=xl/ctrlProps/ctrlProp19.xml><?xml version="1.0" encoding="utf-8"?>
<formControlPr xmlns="http://schemas.microsoft.com/office/spreadsheetml/2009/9/main" objectType="Drop" dropStyle="combo" dx="22" fmlaLink="Tiedot!$B$34" fmlaRange="Apu!$B$67:$B$70" noThreeD="1" sel="0" val="0"/>
</file>

<file path=xl/ctrlProps/ctrlProp20.xml><?xml version="1.0" encoding="utf-8"?>
<formControlPr xmlns="http://schemas.microsoft.com/office/spreadsheetml/2009/9/main" objectType="Drop" dropStyle="combo" dx="22" fmlaLink="Tiedot!$B$35" fmlaRange="Apu!$B$67:$B$70" noThreeD="1" sel="0" val="0"/>
</file>

<file path=xl/ctrlProps/ctrlProp21.xml><?xml version="1.0" encoding="utf-8"?>
<formControlPr xmlns="http://schemas.microsoft.com/office/spreadsheetml/2009/9/main" objectType="Drop" dropStyle="combo" dx="22" fmlaLink="Tiedot!$B$37" fmlaRange="Apu!$B$67:$B$70" noThreeD="1" sel="0" val="0"/>
</file>

<file path=xl/ctrlProps/ctrlProp22.xml><?xml version="1.0" encoding="utf-8"?>
<formControlPr xmlns="http://schemas.microsoft.com/office/spreadsheetml/2009/9/main" objectType="Drop" dropStyle="combo" dx="22" fmlaLink="Tiedot!$B$36" fmlaRange="Apu!$B$67:$B$7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544239</xdr:colOff>
      <xdr:row>1</xdr:row>
      <xdr:rowOff>158262</xdr:rowOff>
    </xdr:from>
    <xdr:to>
      <xdr:col>13</xdr:col>
      <xdr:colOff>40286</xdr:colOff>
      <xdr:row>3</xdr:row>
      <xdr:rowOff>166583</xdr:rowOff>
    </xdr:to>
    <xdr:pic>
      <xdr:nvPicPr>
        <xdr:cNvPr id="3" name="Picture 12">
          <a:extLst>
            <a:ext uri="{FF2B5EF4-FFF2-40B4-BE49-F238E27FC236}">
              <a16:creationId xmlns:a16="http://schemas.microsoft.com/office/drawing/2014/main" id="{111E774D-1E78-40B4-9F9E-CF9FF884C264}"/>
            </a:ext>
          </a:extLst>
        </xdr:cNvPr>
        <xdr:cNvPicPr>
          <a:picLocks noChangeAspect="1" noChangeArrowheads="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bwMode="auto">
        <a:xfrm>
          <a:off x="7211739" y="348762"/>
          <a:ext cx="1448672" cy="389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104775</xdr:colOff>
      <xdr:row>1</xdr:row>
      <xdr:rowOff>133350</xdr:rowOff>
    </xdr:from>
    <xdr:to>
      <xdr:col>10</xdr:col>
      <xdr:colOff>315197</xdr:colOff>
      <xdr:row>3</xdr:row>
      <xdr:rowOff>191495</xdr:rowOff>
    </xdr:to>
    <xdr:pic>
      <xdr:nvPicPr>
        <xdr:cNvPr id="4" name="Picture 3">
          <a:extLst>
            <a:ext uri="{FF2B5EF4-FFF2-40B4-BE49-F238E27FC236}">
              <a16:creationId xmlns:a16="http://schemas.microsoft.com/office/drawing/2014/main" id="{FF39AB08-5B13-4792-BD61-8009E53296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5" y="323850"/>
          <a:ext cx="1448672" cy="43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76200</xdr:colOff>
          <xdr:row>16</xdr:row>
          <xdr:rowOff>0</xdr:rowOff>
        </xdr:from>
        <xdr:to>
          <xdr:col>38</xdr:col>
          <xdr:colOff>152400</xdr:colOff>
          <xdr:row>16</xdr:row>
          <xdr:rowOff>289560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60960</xdr:rowOff>
        </xdr:from>
        <xdr:to>
          <xdr:col>38</xdr:col>
          <xdr:colOff>152400</xdr:colOff>
          <xdr:row>15</xdr:row>
          <xdr:rowOff>7620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45720</xdr:rowOff>
        </xdr:from>
        <xdr:to>
          <xdr:col>38</xdr:col>
          <xdr:colOff>152400</xdr:colOff>
          <xdr:row>25</xdr:row>
          <xdr:rowOff>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93</xdr:col>
      <xdr:colOff>8658</xdr:colOff>
      <xdr:row>5</xdr:row>
      <xdr:rowOff>333374</xdr:rowOff>
    </xdr:from>
    <xdr:to>
      <xdr:col>137</xdr:col>
      <xdr:colOff>0</xdr:colOff>
      <xdr:row>18</xdr:row>
      <xdr:rowOff>333374</xdr:rowOff>
    </xdr:to>
    <xdr:graphicFrame macro="">
      <xdr:nvGraphicFramePr>
        <xdr:cNvPr id="4" name="Chart 3">
          <a:extLst>
            <a:ext uri="{FF2B5EF4-FFF2-40B4-BE49-F238E27FC236}">
              <a16:creationId xmlns:a16="http://schemas.microsoft.com/office/drawing/2014/main" id="{03B7CA6F-A85B-4E39-834D-8B7FAF25C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76200</xdr:colOff>
          <xdr:row>13</xdr:row>
          <xdr:rowOff>22860</xdr:rowOff>
        </xdr:from>
        <xdr:to>
          <xdr:col>38</xdr:col>
          <xdr:colOff>152400</xdr:colOff>
          <xdr:row>13</xdr:row>
          <xdr:rowOff>304800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0</xdr:rowOff>
        </xdr:from>
        <xdr:to>
          <xdr:col>38</xdr:col>
          <xdr:colOff>152400</xdr:colOff>
          <xdr:row>20</xdr:row>
          <xdr:rowOff>289560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22</xdr:row>
          <xdr:rowOff>30480</xdr:rowOff>
        </xdr:from>
        <xdr:to>
          <xdr:col>35</xdr:col>
          <xdr:colOff>7620</xdr:colOff>
          <xdr:row>22</xdr:row>
          <xdr:rowOff>312420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60960</xdr:rowOff>
        </xdr:from>
        <xdr:to>
          <xdr:col>38</xdr:col>
          <xdr:colOff>152400</xdr:colOff>
          <xdr:row>24</xdr:row>
          <xdr:rowOff>7620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38100</xdr:rowOff>
        </xdr:from>
        <xdr:to>
          <xdr:col>38</xdr:col>
          <xdr:colOff>152400</xdr:colOff>
          <xdr:row>25</xdr:row>
          <xdr:rowOff>327660</xdr:rowOff>
        </xdr:to>
        <xdr:sp macro="" textlink="">
          <xdr:nvSpPr>
            <xdr:cNvPr id="2114" name="Drop Down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335280</xdr:rowOff>
        </xdr:from>
        <xdr:to>
          <xdr:col>34</xdr:col>
          <xdr:colOff>160020</xdr:colOff>
          <xdr:row>26</xdr:row>
          <xdr:rowOff>327660</xdr:rowOff>
        </xdr:to>
        <xdr:sp macro="" textlink="">
          <xdr:nvSpPr>
            <xdr:cNvPr id="2118" name="Scroll Bar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30480</xdr:rowOff>
        </xdr:from>
        <xdr:to>
          <xdr:col>35</xdr:col>
          <xdr:colOff>7620</xdr:colOff>
          <xdr:row>18</xdr:row>
          <xdr:rowOff>312420</xdr:rowOff>
        </xdr:to>
        <xdr:sp macro="" textlink="">
          <xdr:nvSpPr>
            <xdr:cNvPr id="2140" name="Drop Dow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29</xdr:row>
          <xdr:rowOff>0</xdr:rowOff>
        </xdr:from>
        <xdr:to>
          <xdr:col>16</xdr:col>
          <xdr:colOff>99060</xdr:colOff>
          <xdr:row>30</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30</xdr:row>
          <xdr:rowOff>0</xdr:rowOff>
        </xdr:from>
        <xdr:to>
          <xdr:col>16</xdr:col>
          <xdr:colOff>99060</xdr:colOff>
          <xdr:row>31</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31</xdr:row>
          <xdr:rowOff>0</xdr:rowOff>
        </xdr:from>
        <xdr:to>
          <xdr:col>16</xdr:col>
          <xdr:colOff>99060</xdr:colOff>
          <xdr:row>32</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32</xdr:row>
          <xdr:rowOff>0</xdr:rowOff>
        </xdr:from>
        <xdr:to>
          <xdr:col>16</xdr:col>
          <xdr:colOff>99060</xdr:colOff>
          <xdr:row>33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33</xdr:row>
          <xdr:rowOff>0</xdr:rowOff>
        </xdr:from>
        <xdr:to>
          <xdr:col>16</xdr:col>
          <xdr:colOff>99060</xdr:colOff>
          <xdr:row>34</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124337</xdr:colOff>
      <xdr:row>26</xdr:row>
      <xdr:rowOff>97959</xdr:rowOff>
    </xdr:from>
    <xdr:to>
      <xdr:col>34</xdr:col>
      <xdr:colOff>96887</xdr:colOff>
      <xdr:row>26</xdr:row>
      <xdr:rowOff>241959</xdr:rowOff>
    </xdr:to>
    <xdr:sp macro="" textlink="">
      <xdr:nvSpPr>
        <xdr:cNvPr id="7" name="Half Frame 6">
          <a:extLst>
            <a:ext uri="{FF2B5EF4-FFF2-40B4-BE49-F238E27FC236}">
              <a16:creationId xmlns:a16="http://schemas.microsoft.com/office/drawing/2014/main" id="{E1D2ED7A-D176-85F7-9A5E-E699FF719CDE}"/>
            </a:ext>
          </a:extLst>
        </xdr:cNvPr>
        <xdr:cNvSpPr/>
      </xdr:nvSpPr>
      <xdr:spPr>
        <a:xfrm rot="8100000">
          <a:off x="5696462" y="69178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24</xdr:col>
      <xdr:colOff>162437</xdr:colOff>
      <xdr:row>26</xdr:row>
      <xdr:rowOff>97959</xdr:rowOff>
    </xdr:from>
    <xdr:to>
      <xdr:col>25</xdr:col>
      <xdr:colOff>134987</xdr:colOff>
      <xdr:row>26</xdr:row>
      <xdr:rowOff>241959</xdr:rowOff>
    </xdr:to>
    <xdr:sp macro="" textlink="">
      <xdr:nvSpPr>
        <xdr:cNvPr id="8" name="Half Frame 7">
          <a:extLst>
            <a:ext uri="{FF2B5EF4-FFF2-40B4-BE49-F238E27FC236}">
              <a16:creationId xmlns:a16="http://schemas.microsoft.com/office/drawing/2014/main" id="{6E60EF87-9883-43C6-A5B6-1E91B8C34ED0}"/>
            </a:ext>
          </a:extLst>
        </xdr:cNvPr>
        <xdr:cNvSpPr/>
      </xdr:nvSpPr>
      <xdr:spPr>
        <a:xfrm rot="-2700000">
          <a:off x="4191512" y="69178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17</xdr:row>
          <xdr:rowOff>0</xdr:rowOff>
        </xdr:from>
        <xdr:to>
          <xdr:col>34</xdr:col>
          <xdr:colOff>160020</xdr:colOff>
          <xdr:row>17</xdr:row>
          <xdr:rowOff>327660</xdr:rowOff>
        </xdr:to>
        <xdr:sp macro="" textlink="">
          <xdr:nvSpPr>
            <xdr:cNvPr id="2205" name="Scroll Bar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21</xdr:row>
          <xdr:rowOff>0</xdr:rowOff>
        </xdr:from>
        <xdr:to>
          <xdr:col>34</xdr:col>
          <xdr:colOff>160020</xdr:colOff>
          <xdr:row>21</xdr:row>
          <xdr:rowOff>327660</xdr:rowOff>
        </xdr:to>
        <xdr:sp macro="" textlink="">
          <xdr:nvSpPr>
            <xdr:cNvPr id="2207" name="Scroll Bar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33</xdr:col>
      <xdr:colOff>105288</xdr:colOff>
      <xdr:row>21</xdr:row>
      <xdr:rowOff>107484</xdr:rowOff>
    </xdr:from>
    <xdr:to>
      <xdr:col>34</xdr:col>
      <xdr:colOff>77838</xdr:colOff>
      <xdr:row>21</xdr:row>
      <xdr:rowOff>251484</xdr:rowOff>
    </xdr:to>
    <xdr:sp macro="" textlink="">
      <xdr:nvSpPr>
        <xdr:cNvPr id="2" name="Half Frame 1">
          <a:extLst>
            <a:ext uri="{FF2B5EF4-FFF2-40B4-BE49-F238E27FC236}">
              <a16:creationId xmlns:a16="http://schemas.microsoft.com/office/drawing/2014/main" id="{85659AB2-D9AE-478B-9B47-91ACF630BE22}"/>
            </a:ext>
          </a:extLst>
        </xdr:cNvPr>
        <xdr:cNvSpPr/>
      </xdr:nvSpPr>
      <xdr:spPr>
        <a:xfrm rot="8100000">
          <a:off x="5677413" y="59272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24</xdr:col>
      <xdr:colOff>143388</xdr:colOff>
      <xdr:row>21</xdr:row>
      <xdr:rowOff>107484</xdr:rowOff>
    </xdr:from>
    <xdr:to>
      <xdr:col>25</xdr:col>
      <xdr:colOff>115938</xdr:colOff>
      <xdr:row>21</xdr:row>
      <xdr:rowOff>251484</xdr:rowOff>
    </xdr:to>
    <xdr:sp macro="" textlink="">
      <xdr:nvSpPr>
        <xdr:cNvPr id="3" name="Half Frame 2">
          <a:extLst>
            <a:ext uri="{FF2B5EF4-FFF2-40B4-BE49-F238E27FC236}">
              <a16:creationId xmlns:a16="http://schemas.microsoft.com/office/drawing/2014/main" id="{501E15F5-66E2-482E-B564-EA14E4178536}"/>
            </a:ext>
          </a:extLst>
        </xdr:cNvPr>
        <xdr:cNvSpPr/>
      </xdr:nvSpPr>
      <xdr:spPr>
        <a:xfrm rot="18900000">
          <a:off x="4172463" y="59272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33</xdr:col>
      <xdr:colOff>105288</xdr:colOff>
      <xdr:row>17</xdr:row>
      <xdr:rowOff>107484</xdr:rowOff>
    </xdr:from>
    <xdr:to>
      <xdr:col>34</xdr:col>
      <xdr:colOff>77838</xdr:colOff>
      <xdr:row>17</xdr:row>
      <xdr:rowOff>251484</xdr:rowOff>
    </xdr:to>
    <xdr:sp macro="" textlink="">
      <xdr:nvSpPr>
        <xdr:cNvPr id="6" name="Half Frame 5">
          <a:extLst>
            <a:ext uri="{FF2B5EF4-FFF2-40B4-BE49-F238E27FC236}">
              <a16:creationId xmlns:a16="http://schemas.microsoft.com/office/drawing/2014/main" id="{F07E72BA-5E99-443A-9377-FAE000E0D1C1}"/>
            </a:ext>
          </a:extLst>
        </xdr:cNvPr>
        <xdr:cNvSpPr/>
      </xdr:nvSpPr>
      <xdr:spPr>
        <a:xfrm rot="8100000">
          <a:off x="5677413" y="45937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24</xdr:col>
      <xdr:colOff>143388</xdr:colOff>
      <xdr:row>17</xdr:row>
      <xdr:rowOff>107484</xdr:rowOff>
    </xdr:from>
    <xdr:to>
      <xdr:col>25</xdr:col>
      <xdr:colOff>115938</xdr:colOff>
      <xdr:row>17</xdr:row>
      <xdr:rowOff>251484</xdr:rowOff>
    </xdr:to>
    <xdr:sp macro="" textlink="">
      <xdr:nvSpPr>
        <xdr:cNvPr id="10" name="Half Frame 9">
          <a:extLst>
            <a:ext uri="{FF2B5EF4-FFF2-40B4-BE49-F238E27FC236}">
              <a16:creationId xmlns:a16="http://schemas.microsoft.com/office/drawing/2014/main" id="{2BF9FE4F-E9E2-4A9B-B7B3-69ADD3783CAC}"/>
            </a:ext>
          </a:extLst>
        </xdr:cNvPr>
        <xdr:cNvSpPr/>
      </xdr:nvSpPr>
      <xdr:spPr>
        <a:xfrm rot="18900000">
          <a:off x="4172463" y="4593759"/>
          <a:ext cx="144000" cy="144000"/>
        </a:xfrm>
        <a:prstGeom prst="halfFrame">
          <a:avLst>
            <a:gd name="adj1" fmla="val 10810"/>
            <a:gd name="adj2" fmla="val 10810"/>
          </a:avLst>
        </a:prstGeom>
        <a:solidFill>
          <a:schemeClr val="tx1">
            <a:lumMod val="50000"/>
            <a:lumOff val="50000"/>
          </a:schemeClr>
        </a:solidFill>
        <a:ln w="31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32</xdr:col>
          <xdr:colOff>30480</xdr:colOff>
          <xdr:row>29</xdr:row>
          <xdr:rowOff>60960</xdr:rowOff>
        </xdr:from>
        <xdr:to>
          <xdr:col>36</xdr:col>
          <xdr:colOff>137160</xdr:colOff>
          <xdr:row>29</xdr:row>
          <xdr:rowOff>297180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30</xdr:row>
          <xdr:rowOff>60960</xdr:rowOff>
        </xdr:from>
        <xdr:to>
          <xdr:col>36</xdr:col>
          <xdr:colOff>137160</xdr:colOff>
          <xdr:row>30</xdr:row>
          <xdr:rowOff>297180</xdr:rowOff>
        </xdr:to>
        <xdr:sp macro="" textlink="">
          <xdr:nvSpPr>
            <xdr:cNvPr id="2224" name="Drop Down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60960</xdr:rowOff>
        </xdr:from>
        <xdr:to>
          <xdr:col>36</xdr:col>
          <xdr:colOff>137160</xdr:colOff>
          <xdr:row>31</xdr:row>
          <xdr:rowOff>297180</xdr:rowOff>
        </xdr:to>
        <xdr:sp macro="" textlink="">
          <xdr:nvSpPr>
            <xdr:cNvPr id="2225" name="Drop Down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33</xdr:row>
          <xdr:rowOff>60960</xdr:rowOff>
        </xdr:from>
        <xdr:to>
          <xdr:col>36</xdr:col>
          <xdr:colOff>137160</xdr:colOff>
          <xdr:row>33</xdr:row>
          <xdr:rowOff>297180</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32</xdr:row>
          <xdr:rowOff>60960</xdr:rowOff>
        </xdr:from>
        <xdr:to>
          <xdr:col>36</xdr:col>
          <xdr:colOff>137160</xdr:colOff>
          <xdr:row>32</xdr:row>
          <xdr:rowOff>297180</xdr:rowOff>
        </xdr:to>
        <xdr:sp macro="" textlink="">
          <xdr:nvSpPr>
            <xdr:cNvPr id="2227" name="Drop Down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80</xdr:col>
      <xdr:colOff>1314</xdr:colOff>
      <xdr:row>2</xdr:row>
      <xdr:rowOff>82062</xdr:rowOff>
    </xdr:from>
    <xdr:to>
      <xdr:col>88</xdr:col>
      <xdr:colOff>78386</xdr:colOff>
      <xdr:row>3</xdr:row>
      <xdr:rowOff>138008</xdr:rowOff>
    </xdr:to>
    <xdr:pic>
      <xdr:nvPicPr>
        <xdr:cNvPr id="13" name="Picture 12">
          <a:extLst>
            <a:ext uri="{FF2B5EF4-FFF2-40B4-BE49-F238E27FC236}">
              <a16:creationId xmlns:a16="http://schemas.microsoft.com/office/drawing/2014/main" id="{E0F8A85F-B7B0-40ED-ABF1-24B1FE9C43F1}"/>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bwMode="auto">
        <a:xfrm>
          <a:off x="13202964" y="291612"/>
          <a:ext cx="1448672" cy="389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38100</xdr:colOff>
      <xdr:row>2</xdr:row>
      <xdr:rowOff>57150</xdr:rowOff>
    </xdr:from>
    <xdr:to>
      <xdr:col>78</xdr:col>
      <xdr:colOff>115172</xdr:colOff>
      <xdr:row>3</xdr:row>
      <xdr:rowOff>162920</xdr:rowOff>
    </xdr:to>
    <xdr:pic>
      <xdr:nvPicPr>
        <xdr:cNvPr id="14" name="Picture 13">
          <a:extLst>
            <a:ext uri="{FF2B5EF4-FFF2-40B4-BE49-F238E27FC236}">
              <a16:creationId xmlns:a16="http://schemas.microsoft.com/office/drawing/2014/main" id="{E963AF2B-EB1C-41EC-A5F3-DB487DC44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25250" y="266700"/>
          <a:ext cx="1448672" cy="43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48939</xdr:colOff>
      <xdr:row>2</xdr:row>
      <xdr:rowOff>34437</xdr:rowOff>
    </xdr:from>
    <xdr:to>
      <xdr:col>42</xdr:col>
      <xdr:colOff>126011</xdr:colOff>
      <xdr:row>3</xdr:row>
      <xdr:rowOff>90383</xdr:rowOff>
    </xdr:to>
    <xdr:pic>
      <xdr:nvPicPr>
        <xdr:cNvPr id="15" name="Picture 12">
          <a:extLst>
            <a:ext uri="{FF2B5EF4-FFF2-40B4-BE49-F238E27FC236}">
              <a16:creationId xmlns:a16="http://schemas.microsoft.com/office/drawing/2014/main" id="{8DCBA3C2-A806-4CEB-B0CC-887F00387CF4}"/>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bwMode="auto">
        <a:xfrm>
          <a:off x="5792514" y="243987"/>
          <a:ext cx="1448672" cy="389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85725</xdr:colOff>
      <xdr:row>2</xdr:row>
      <xdr:rowOff>9525</xdr:rowOff>
    </xdr:from>
    <xdr:to>
      <xdr:col>32</xdr:col>
      <xdr:colOff>162797</xdr:colOff>
      <xdr:row>3</xdr:row>
      <xdr:rowOff>115295</xdr:rowOff>
    </xdr:to>
    <xdr:pic>
      <xdr:nvPicPr>
        <xdr:cNvPr id="16" name="Picture 15">
          <a:extLst>
            <a:ext uri="{FF2B5EF4-FFF2-40B4-BE49-F238E27FC236}">
              <a16:creationId xmlns:a16="http://schemas.microsoft.com/office/drawing/2014/main" id="{92BA55F8-922D-4D0A-9BF6-008B7C3F07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14800" y="219075"/>
          <a:ext cx="1448672" cy="43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295274</xdr:colOff>
      <xdr:row>17</xdr:row>
      <xdr:rowOff>19050</xdr:rowOff>
    </xdr:from>
    <xdr:to>
      <xdr:col>12</xdr:col>
      <xdr:colOff>247649</xdr:colOff>
      <xdr:row>41</xdr:row>
      <xdr:rowOff>85725</xdr:rowOff>
    </xdr:to>
    <xdr:graphicFrame macro="">
      <xdr:nvGraphicFramePr>
        <xdr:cNvPr id="3" name="Chart 2">
          <a:extLst>
            <a:ext uri="{FF2B5EF4-FFF2-40B4-BE49-F238E27FC236}">
              <a16:creationId xmlns:a16="http://schemas.microsoft.com/office/drawing/2014/main" id="{5876C32E-A180-4B6C-AEEB-2EEFF680C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
  <rv s="0">
    <v>0</v>
    <v>8</v>
    <v>9</v>
    <v>1</v>
  </rv>
  <rv s="0">
    <v>0</v>
    <v>8</v>
    <v>21</v>
    <v>1</v>
  </rv>
  <rv s="0">
    <v>0</v>
    <v>8</v>
    <v>3</v>
    <v>1</v>
  </rv>
  <rv s="1">
    <v>8</v>
    <v>1</v>
  </rv>
  <rv s="0">
    <v>0</v>
    <v>8</v>
    <v>5</v>
    <v>1</v>
  </rv>
  <rv s="0">
    <v>0</v>
    <v>8</v>
    <v>8</v>
    <v>1</v>
  </rv>
  <rv s="0">
    <v>0</v>
    <v>8</v>
    <v>2</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YM2">
  <a:themeElements>
    <a:clrScheme name="SYKE">
      <a:dk1>
        <a:sysClr val="windowText" lastClr="000000"/>
      </a:dk1>
      <a:lt1>
        <a:sysClr val="window" lastClr="FFFFFF"/>
      </a:lt1>
      <a:dk2>
        <a:srgbClr val="253746"/>
      </a:dk2>
      <a:lt2>
        <a:srgbClr val="FFFFFF"/>
      </a:lt2>
      <a:accent1>
        <a:srgbClr val="005854"/>
      </a:accent1>
      <a:accent2>
        <a:srgbClr val="84C497"/>
      </a:accent2>
      <a:accent3>
        <a:srgbClr val="F28E77"/>
      </a:accent3>
      <a:accent4>
        <a:srgbClr val="64C1CB"/>
      </a:accent4>
      <a:accent5>
        <a:srgbClr val="F3A44C"/>
      </a:accent5>
      <a:accent6>
        <a:srgbClr val="B34733"/>
      </a:accent6>
      <a:hlink>
        <a:srgbClr val="0065BD"/>
      </a:hlink>
      <a:folHlink>
        <a:srgbClr val="7474C1"/>
      </a:folHlink>
    </a:clrScheme>
    <a:fontScheme name="Ympäristöministeriö">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Ympäristöministeriö" id="{1D6E63CD-FABD-466E-9F73-8044BB6831E0}" vid="{0BD7C3A0-490E-49A8-95D3-0B37F06E71A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8537-92CA-4E9B-AC4B-5A2FEE91D1D5}">
  <sheetPr codeName="Sheet2">
    <tabColor theme="0" tint="-4.9989318521683403E-2"/>
  </sheetPr>
  <dimension ref="B2:BM164"/>
  <sheetViews>
    <sheetView tabSelected="1" workbookViewId="0"/>
  </sheetViews>
  <sheetFormatPr defaultColWidth="9.109375" defaultRowHeight="14.4" x14ac:dyDescent="0.3"/>
  <cols>
    <col min="1" max="1" width="3.109375" style="14" customWidth="1"/>
    <col min="2" max="2" width="1.33203125" style="14" customWidth="1"/>
    <col min="3" max="3" width="2" style="14" customWidth="1"/>
    <col min="4" max="4" width="11.109375" style="14" customWidth="1"/>
    <col min="5" max="5" width="36" style="14" bestFit="1" customWidth="1"/>
    <col min="6" max="11" width="9.33203125" style="14" customWidth="1"/>
    <col min="12" max="13" width="10" style="14" customWidth="1"/>
    <col min="14" max="14" width="2" style="14" customWidth="1"/>
    <col min="15" max="15" width="1.33203125" style="14" customWidth="1"/>
    <col min="16" max="16" width="3.44140625" style="14" customWidth="1"/>
    <col min="17" max="57" width="9.109375" style="14"/>
    <col min="58" max="58" width="34" style="14" bestFit="1" customWidth="1"/>
    <col min="59" max="64" width="11.109375" style="14" customWidth="1"/>
    <col min="65" max="16384" width="9.109375" style="14"/>
  </cols>
  <sheetData>
    <row r="2" spans="2:15" x14ac:dyDescent="0.3">
      <c r="B2" s="59"/>
      <c r="C2" s="59"/>
      <c r="D2" s="59"/>
      <c r="E2" s="59"/>
      <c r="F2" s="59"/>
      <c r="G2" s="59"/>
      <c r="H2" s="59"/>
      <c r="I2" s="59"/>
      <c r="J2" s="59"/>
      <c r="K2" s="59"/>
      <c r="L2" s="59"/>
      <c r="M2" s="59"/>
      <c r="N2" s="59"/>
      <c r="O2" s="59"/>
    </row>
    <row r="3" spans="2:15" ht="15" customHeight="1" x14ac:dyDescent="0.4">
      <c r="B3" s="59"/>
      <c r="C3" s="118" t="s">
        <v>157</v>
      </c>
      <c r="D3" s="59"/>
      <c r="E3" s="59"/>
      <c r="F3" s="59"/>
      <c r="G3" s="59"/>
      <c r="H3" s="59"/>
      <c r="I3" s="59"/>
      <c r="J3" s="59"/>
      <c r="K3" s="59"/>
      <c r="L3" s="59"/>
      <c r="M3" s="59"/>
      <c r="N3" s="59"/>
      <c r="O3" s="59"/>
    </row>
    <row r="4" spans="2:15" ht="21" customHeight="1" x14ac:dyDescent="0.3">
      <c r="B4" s="59"/>
      <c r="C4" s="63" t="s">
        <v>426</v>
      </c>
      <c r="D4" s="64"/>
      <c r="E4" s="64"/>
      <c r="F4" s="64"/>
      <c r="G4" s="64"/>
      <c r="H4" s="64"/>
      <c r="I4" s="64"/>
      <c r="J4" s="64"/>
      <c r="K4" s="64"/>
      <c r="L4" s="64"/>
      <c r="M4" s="64"/>
      <c r="N4" s="64"/>
      <c r="O4" s="59"/>
    </row>
    <row r="5" spans="2:15" x14ac:dyDescent="0.3">
      <c r="B5" s="59"/>
      <c r="C5" s="59"/>
      <c r="D5" s="59"/>
      <c r="E5" s="59"/>
      <c r="F5" s="59"/>
      <c r="G5" s="59"/>
      <c r="H5" s="59"/>
      <c r="I5" s="59"/>
      <c r="J5" s="59"/>
      <c r="K5" s="59"/>
      <c r="L5" s="59"/>
      <c r="M5" s="59"/>
      <c r="N5" s="59"/>
      <c r="O5" s="59"/>
    </row>
    <row r="6" spans="2:15" ht="20.25" customHeight="1" x14ac:dyDescent="0.5">
      <c r="B6" s="59"/>
      <c r="C6" s="59"/>
      <c r="D6" s="119" t="s">
        <v>157</v>
      </c>
      <c r="E6" s="59"/>
      <c r="F6" s="59"/>
      <c r="G6" s="59"/>
      <c r="H6" s="59"/>
      <c r="I6" s="59"/>
      <c r="J6" s="59"/>
      <c r="K6" s="59"/>
      <c r="L6" s="59"/>
      <c r="M6" s="59"/>
      <c r="N6" s="59"/>
      <c r="O6" s="59"/>
    </row>
    <row r="7" spans="2:15" ht="20.25" customHeight="1" x14ac:dyDescent="0.5">
      <c r="B7" s="59"/>
      <c r="C7" s="59"/>
      <c r="D7" s="60"/>
      <c r="E7" s="59"/>
      <c r="F7" s="59"/>
      <c r="G7" s="59"/>
      <c r="H7" s="59"/>
      <c r="I7" s="59"/>
      <c r="J7" s="59"/>
      <c r="K7" s="59"/>
      <c r="L7" s="59"/>
      <c r="M7" s="59"/>
      <c r="N7" s="59"/>
      <c r="O7" s="59"/>
    </row>
    <row r="8" spans="2:15" ht="20.25" customHeight="1" x14ac:dyDescent="0.5">
      <c r="B8" s="59"/>
      <c r="C8" s="59"/>
      <c r="D8" s="120" t="s">
        <v>396</v>
      </c>
      <c r="E8" s="59"/>
      <c r="F8" s="59"/>
      <c r="G8" s="59"/>
      <c r="H8" s="59"/>
      <c r="I8" s="59"/>
      <c r="J8" s="59"/>
      <c r="K8" s="59"/>
      <c r="L8" s="59"/>
      <c r="M8" s="59"/>
      <c r="N8" s="59"/>
      <c r="O8" s="59"/>
    </row>
    <row r="9" spans="2:15" ht="58.5" customHeight="1" x14ac:dyDescent="0.3">
      <c r="B9" s="59"/>
      <c r="C9" s="59"/>
      <c r="D9" s="135" t="s">
        <v>398</v>
      </c>
      <c r="E9" s="135"/>
      <c r="F9" s="135"/>
      <c r="G9" s="135"/>
      <c r="H9" s="135"/>
      <c r="I9" s="135"/>
      <c r="J9" s="135"/>
      <c r="K9" s="135"/>
      <c r="L9" s="135"/>
      <c r="M9" s="135"/>
      <c r="N9" s="59"/>
      <c r="O9" s="59"/>
    </row>
    <row r="10" spans="2:15" ht="33" customHeight="1" x14ac:dyDescent="0.3">
      <c r="B10" s="59"/>
      <c r="C10" s="59"/>
      <c r="D10" s="135"/>
      <c r="E10" s="135"/>
      <c r="F10" s="135"/>
      <c r="G10" s="135"/>
      <c r="H10" s="135"/>
      <c r="I10" s="135"/>
      <c r="J10" s="135"/>
      <c r="K10" s="135"/>
      <c r="L10" s="135"/>
      <c r="M10" s="135"/>
      <c r="N10" s="59"/>
      <c r="O10" s="59"/>
    </row>
    <row r="11" spans="2:15" ht="15" customHeight="1" x14ac:dyDescent="0.35">
      <c r="B11" s="59"/>
      <c r="C11" s="59"/>
      <c r="D11" s="61"/>
      <c r="E11" s="61"/>
      <c r="F11" s="61"/>
      <c r="G11" s="61"/>
      <c r="H11" s="61"/>
      <c r="I11" s="61"/>
      <c r="J11" s="61"/>
      <c r="K11" s="61"/>
      <c r="L11" s="61"/>
      <c r="M11" s="61"/>
      <c r="N11" s="59"/>
      <c r="O11" s="59"/>
    </row>
    <row r="12" spans="2:15" ht="20.25" customHeight="1" x14ac:dyDescent="0.5">
      <c r="B12" s="59"/>
      <c r="C12" s="59"/>
      <c r="D12" s="120" t="s">
        <v>381</v>
      </c>
      <c r="E12" s="59"/>
      <c r="F12" s="59"/>
      <c r="G12" s="59"/>
      <c r="H12" s="59"/>
      <c r="I12" s="59"/>
      <c r="J12" s="59"/>
      <c r="K12" s="59"/>
      <c r="L12" s="59"/>
      <c r="M12" s="59"/>
      <c r="N12" s="59"/>
      <c r="O12" s="59"/>
    </row>
    <row r="13" spans="2:15" ht="21" customHeight="1" x14ac:dyDescent="0.3">
      <c r="B13" s="59"/>
      <c r="C13" s="59"/>
      <c r="D13" s="136" t="s">
        <v>419</v>
      </c>
      <c r="E13" s="136"/>
      <c r="F13" s="136"/>
      <c r="G13" s="136"/>
      <c r="H13" s="136"/>
      <c r="I13" s="136"/>
      <c r="J13" s="136"/>
      <c r="K13" s="136"/>
      <c r="L13" s="136"/>
      <c r="M13" s="136"/>
      <c r="N13" s="59"/>
      <c r="O13" s="59"/>
    </row>
    <row r="14" spans="2:15" ht="21" customHeight="1" x14ac:dyDescent="0.3">
      <c r="B14" s="59"/>
      <c r="C14" s="59"/>
      <c r="D14" s="136"/>
      <c r="E14" s="136"/>
      <c r="F14" s="136"/>
      <c r="G14" s="136"/>
      <c r="H14" s="136"/>
      <c r="I14" s="136"/>
      <c r="J14" s="136"/>
      <c r="K14" s="136"/>
      <c r="L14" s="136"/>
      <c r="M14" s="136"/>
      <c r="N14" s="59"/>
      <c r="O14" s="59"/>
    </row>
    <row r="15" spans="2:15" ht="21" customHeight="1" x14ac:dyDescent="0.3">
      <c r="B15" s="59"/>
      <c r="C15" s="59"/>
      <c r="D15" s="136"/>
      <c r="E15" s="136"/>
      <c r="F15" s="136"/>
      <c r="G15" s="136"/>
      <c r="H15" s="136"/>
      <c r="I15" s="136"/>
      <c r="J15" s="136"/>
      <c r="K15" s="136"/>
      <c r="L15" s="136"/>
      <c r="M15" s="136"/>
      <c r="N15" s="59"/>
      <c r="O15" s="59"/>
    </row>
    <row r="16" spans="2:15" ht="10.5" customHeight="1" x14ac:dyDescent="0.3">
      <c r="B16" s="59"/>
      <c r="C16" s="59"/>
      <c r="D16" s="110"/>
      <c r="E16" s="110"/>
      <c r="F16" s="110"/>
      <c r="G16" s="110"/>
      <c r="H16" s="110"/>
      <c r="I16" s="110"/>
      <c r="J16" s="110"/>
      <c r="K16" s="110"/>
      <c r="L16" s="110"/>
      <c r="M16" s="110"/>
      <c r="N16" s="59"/>
      <c r="O16" s="59"/>
    </row>
    <row r="17" spans="2:15" ht="21" customHeight="1" x14ac:dyDescent="0.5">
      <c r="B17" s="59"/>
      <c r="C17" s="59"/>
      <c r="D17" s="120" t="s">
        <v>55</v>
      </c>
      <c r="E17" s="66"/>
      <c r="F17" s="66"/>
      <c r="G17" s="66"/>
      <c r="H17" s="66"/>
      <c r="I17" s="66"/>
      <c r="J17" s="66"/>
      <c r="K17" s="66"/>
      <c r="L17" s="66"/>
      <c r="M17" s="66"/>
      <c r="N17" s="59"/>
      <c r="O17" s="59"/>
    </row>
    <row r="18" spans="2:15" ht="21" customHeight="1" x14ac:dyDescent="0.3">
      <c r="B18" s="59"/>
      <c r="C18" s="59"/>
      <c r="D18" s="136" t="s">
        <v>420</v>
      </c>
      <c r="E18" s="136"/>
      <c r="F18" s="136"/>
      <c r="G18" s="136"/>
      <c r="H18" s="136"/>
      <c r="I18" s="136"/>
      <c r="J18" s="136"/>
      <c r="K18" s="136"/>
      <c r="L18" s="136"/>
      <c r="M18" s="136"/>
      <c r="N18" s="59"/>
      <c r="O18" s="59"/>
    </row>
    <row r="19" spans="2:15" ht="21" customHeight="1" x14ac:dyDescent="0.3">
      <c r="B19" s="59"/>
      <c r="C19" s="59"/>
      <c r="D19" s="136"/>
      <c r="E19" s="136"/>
      <c r="F19" s="136"/>
      <c r="G19" s="136"/>
      <c r="H19" s="136"/>
      <c r="I19" s="136"/>
      <c r="J19" s="136"/>
      <c r="K19" s="136"/>
      <c r="L19" s="136"/>
      <c r="M19" s="136"/>
      <c r="N19" s="59"/>
      <c r="O19" s="59"/>
    </row>
    <row r="20" spans="2:15" ht="21" customHeight="1" x14ac:dyDescent="0.3">
      <c r="B20" s="59"/>
      <c r="C20" s="59"/>
      <c r="D20" s="136"/>
      <c r="E20" s="136"/>
      <c r="F20" s="136"/>
      <c r="G20" s="136"/>
      <c r="H20" s="136"/>
      <c r="I20" s="136"/>
      <c r="J20" s="136"/>
      <c r="K20" s="136"/>
      <c r="L20" s="136"/>
      <c r="M20" s="136"/>
      <c r="N20" s="59"/>
      <c r="O20" s="59"/>
    </row>
    <row r="21" spans="2:15" ht="64.5" customHeight="1" x14ac:dyDescent="0.3">
      <c r="B21" s="59"/>
      <c r="C21" s="59"/>
      <c r="D21" s="136"/>
      <c r="E21" s="136"/>
      <c r="F21" s="136"/>
      <c r="G21" s="136"/>
      <c r="H21" s="136"/>
      <c r="I21" s="136"/>
      <c r="J21" s="136"/>
      <c r="K21" s="136"/>
      <c r="L21" s="136"/>
      <c r="M21" s="136"/>
      <c r="N21" s="59"/>
      <c r="O21" s="59"/>
    </row>
    <row r="22" spans="2:15" ht="6.75" customHeight="1" x14ac:dyDescent="0.3">
      <c r="B22" s="62"/>
      <c r="C22" s="59"/>
      <c r="D22" s="66"/>
      <c r="E22" s="66"/>
      <c r="F22" s="66"/>
      <c r="G22" s="66"/>
      <c r="H22" s="66"/>
      <c r="I22" s="66"/>
      <c r="J22" s="66"/>
      <c r="K22" s="66"/>
      <c r="L22" s="66"/>
      <c r="M22" s="66"/>
      <c r="N22" s="59"/>
      <c r="O22" s="59"/>
    </row>
    <row r="23" spans="2:15" ht="21" customHeight="1" x14ac:dyDescent="0.35">
      <c r="B23" s="59"/>
      <c r="C23" s="59"/>
      <c r="D23" s="131"/>
      <c r="E23" s="111" t="s">
        <v>382</v>
      </c>
      <c r="F23" s="61"/>
      <c r="G23" s="61"/>
      <c r="H23" s="61"/>
      <c r="I23" s="61"/>
      <c r="J23" s="61"/>
      <c r="K23" s="61"/>
      <c r="L23" s="61"/>
      <c r="M23" s="61"/>
      <c r="N23" s="59"/>
      <c r="O23" s="59"/>
    </row>
    <row r="24" spans="2:15" ht="21" customHeight="1" x14ac:dyDescent="0.3">
      <c r="B24" s="59"/>
      <c r="C24" s="59"/>
      <c r="D24" s="132"/>
      <c r="E24" s="112" t="s">
        <v>384</v>
      </c>
      <c r="F24" s="110"/>
      <c r="G24" s="110"/>
      <c r="H24" s="110"/>
      <c r="I24" s="110"/>
      <c r="J24" s="110"/>
      <c r="K24" s="110"/>
      <c r="L24" s="110"/>
      <c r="M24" s="110"/>
      <c r="N24" s="59"/>
      <c r="O24" s="59"/>
    </row>
    <row r="25" spans="2:15" ht="21" customHeight="1" x14ac:dyDescent="0.3">
      <c r="B25" s="59"/>
      <c r="C25" s="59"/>
      <c r="D25" s="133"/>
      <c r="E25" s="112" t="s">
        <v>383</v>
      </c>
      <c r="F25" s="110"/>
      <c r="G25" s="110"/>
      <c r="H25" s="110"/>
      <c r="I25" s="110"/>
      <c r="J25" s="110"/>
      <c r="K25" s="110"/>
      <c r="L25" s="110"/>
      <c r="M25" s="110"/>
      <c r="N25" s="59"/>
      <c r="O25" s="59"/>
    </row>
    <row r="26" spans="2:15" ht="14.25" customHeight="1" x14ac:dyDescent="0.3">
      <c r="B26" s="62"/>
      <c r="C26" s="59"/>
      <c r="D26" s="66"/>
      <c r="E26" s="66"/>
      <c r="F26" s="66"/>
      <c r="G26" s="66"/>
      <c r="H26" s="66"/>
      <c r="I26" s="66"/>
      <c r="J26" s="66"/>
      <c r="K26" s="66"/>
      <c r="L26" s="66"/>
      <c r="M26" s="66"/>
      <c r="N26" s="59"/>
      <c r="O26" s="59"/>
    </row>
    <row r="27" spans="2:15" ht="21" customHeight="1" x14ac:dyDescent="0.5">
      <c r="B27" s="59"/>
      <c r="C27" s="59"/>
      <c r="D27" s="120" t="s">
        <v>54</v>
      </c>
      <c r="E27" s="66"/>
      <c r="F27" s="66"/>
      <c r="G27" s="66"/>
      <c r="H27" s="66"/>
      <c r="I27" s="66"/>
      <c r="J27" s="66"/>
      <c r="K27" s="66"/>
      <c r="L27" s="66"/>
      <c r="M27" s="66"/>
      <c r="N27" s="59"/>
      <c r="O27" s="59"/>
    </row>
    <row r="28" spans="2:15" ht="21" customHeight="1" x14ac:dyDescent="0.3">
      <c r="B28" s="59"/>
      <c r="C28" s="59"/>
      <c r="D28" s="135" t="s">
        <v>412</v>
      </c>
      <c r="E28" s="135"/>
      <c r="F28" s="135"/>
      <c r="G28" s="135"/>
      <c r="H28" s="135"/>
      <c r="I28" s="135"/>
      <c r="J28" s="135"/>
      <c r="K28" s="135"/>
      <c r="L28" s="135"/>
      <c r="M28" s="135"/>
      <c r="N28" s="59"/>
      <c r="O28" s="59"/>
    </row>
    <row r="29" spans="2:15" ht="21" customHeight="1" x14ac:dyDescent="0.3">
      <c r="B29" s="59"/>
      <c r="C29" s="59"/>
      <c r="D29" s="135"/>
      <c r="E29" s="135"/>
      <c r="F29" s="135"/>
      <c r="G29" s="135"/>
      <c r="H29" s="135"/>
      <c r="I29" s="135"/>
      <c r="J29" s="135"/>
      <c r="K29" s="135"/>
      <c r="L29" s="135"/>
      <c r="M29" s="135"/>
      <c r="N29" s="59"/>
      <c r="O29" s="59"/>
    </row>
    <row r="30" spans="2:15" ht="21" customHeight="1" x14ac:dyDescent="0.3">
      <c r="B30" s="59"/>
      <c r="C30" s="59"/>
      <c r="D30" s="135"/>
      <c r="E30" s="135"/>
      <c r="F30" s="135"/>
      <c r="G30" s="135"/>
      <c r="H30" s="135"/>
      <c r="I30" s="135"/>
      <c r="J30" s="135"/>
      <c r="K30" s="135"/>
      <c r="L30" s="135"/>
      <c r="M30" s="135"/>
      <c r="N30" s="59"/>
      <c r="O30" s="59"/>
    </row>
    <row r="31" spans="2:15" ht="8.25" customHeight="1" x14ac:dyDescent="0.35">
      <c r="B31" s="59"/>
      <c r="C31" s="59"/>
      <c r="D31" s="67"/>
      <c r="E31" s="67"/>
      <c r="F31" s="67"/>
      <c r="G31" s="67"/>
      <c r="H31" s="67"/>
      <c r="I31" s="67"/>
      <c r="J31" s="67"/>
      <c r="K31" s="67"/>
      <c r="L31" s="67"/>
      <c r="M31" s="67"/>
      <c r="N31" s="59"/>
      <c r="O31" s="59"/>
    </row>
    <row r="32" spans="2:15" s="114" customFormat="1" ht="39.75" customHeight="1" x14ac:dyDescent="0.3">
      <c r="B32" s="113"/>
      <c r="C32" s="113"/>
      <c r="D32" s="136" t="s">
        <v>413</v>
      </c>
      <c r="E32" s="136"/>
      <c r="F32" s="136"/>
      <c r="G32" s="136"/>
      <c r="H32" s="136"/>
      <c r="I32" s="136"/>
      <c r="J32" s="136"/>
      <c r="K32" s="136"/>
      <c r="L32" s="136"/>
      <c r="M32" s="136"/>
      <c r="N32" s="113"/>
      <c r="O32" s="113"/>
    </row>
    <row r="33" spans="2:15" ht="21" customHeight="1" x14ac:dyDescent="0.35">
      <c r="B33" s="59"/>
      <c r="C33" s="59"/>
      <c r="D33" s="61"/>
      <c r="E33" s="68" t="s">
        <v>422</v>
      </c>
      <c r="F33" s="67"/>
      <c r="G33" s="67"/>
      <c r="H33" s="67"/>
      <c r="I33" s="67"/>
      <c r="J33" s="67"/>
      <c r="K33" s="67"/>
      <c r="L33" s="67"/>
      <c r="M33" s="67"/>
      <c r="N33" s="59"/>
      <c r="O33" s="59"/>
    </row>
    <row r="34" spans="2:15" ht="21" customHeight="1" x14ac:dyDescent="0.35">
      <c r="B34" s="59"/>
      <c r="C34" s="59"/>
      <c r="D34" s="67"/>
      <c r="E34" s="69" t="s">
        <v>423</v>
      </c>
      <c r="F34" s="67"/>
      <c r="G34" s="67"/>
      <c r="H34" s="67"/>
      <c r="I34" s="67"/>
      <c r="J34" s="67"/>
      <c r="K34" s="67"/>
      <c r="L34" s="67"/>
      <c r="M34" s="67"/>
      <c r="N34" s="59"/>
      <c r="O34" s="59"/>
    </row>
    <row r="35" spans="2:15" ht="21" customHeight="1" x14ac:dyDescent="0.35">
      <c r="B35" s="59"/>
      <c r="C35" s="59"/>
      <c r="D35" s="67"/>
      <c r="E35" s="69" t="s">
        <v>424</v>
      </c>
      <c r="F35" s="67"/>
      <c r="G35" s="67"/>
      <c r="H35" s="67"/>
      <c r="I35" s="67"/>
      <c r="J35" s="67"/>
      <c r="K35" s="67"/>
      <c r="L35" s="67"/>
      <c r="M35" s="67"/>
      <c r="N35" s="59"/>
      <c r="O35" s="59"/>
    </row>
    <row r="36" spans="2:15" ht="21" customHeight="1" x14ac:dyDescent="0.35">
      <c r="B36" s="59"/>
      <c r="C36" s="59"/>
      <c r="D36" s="61"/>
      <c r="E36" s="69" t="s">
        <v>425</v>
      </c>
      <c r="F36" s="61"/>
      <c r="G36" s="61"/>
      <c r="H36" s="61"/>
      <c r="I36" s="61"/>
      <c r="J36" s="61"/>
      <c r="K36" s="61"/>
      <c r="L36" s="61"/>
      <c r="M36" s="61"/>
      <c r="N36" s="59"/>
      <c r="O36" s="59"/>
    </row>
    <row r="37" spans="2:15" s="114" customFormat="1" ht="53.25" customHeight="1" x14ac:dyDescent="0.3">
      <c r="B37" s="113"/>
      <c r="C37" s="113"/>
      <c r="D37" s="137" t="s">
        <v>414</v>
      </c>
      <c r="E37" s="137"/>
      <c r="F37" s="137"/>
      <c r="G37" s="137"/>
      <c r="H37" s="137"/>
      <c r="I37" s="137"/>
      <c r="J37" s="137"/>
      <c r="K37" s="137"/>
      <c r="L37" s="137"/>
      <c r="M37" s="137"/>
      <c r="N37" s="113"/>
      <c r="O37" s="113"/>
    </row>
    <row r="38" spans="2:15" ht="24" customHeight="1" x14ac:dyDescent="0.5">
      <c r="B38" s="59"/>
      <c r="C38" s="59"/>
      <c r="D38" s="120" t="s">
        <v>385</v>
      </c>
      <c r="E38" s="66"/>
      <c r="F38" s="66"/>
      <c r="G38" s="66"/>
      <c r="H38" s="66"/>
      <c r="I38" s="66"/>
      <c r="J38" s="66"/>
      <c r="K38" s="66"/>
      <c r="L38" s="66"/>
      <c r="M38" s="66"/>
      <c r="N38" s="59"/>
      <c r="O38" s="59"/>
    </row>
    <row r="39" spans="2:15" ht="21" customHeight="1" x14ac:dyDescent="0.3">
      <c r="B39" s="59"/>
      <c r="C39" s="59"/>
      <c r="D39" s="136" t="s">
        <v>397</v>
      </c>
      <c r="E39" s="136"/>
      <c r="F39" s="136"/>
      <c r="G39" s="136"/>
      <c r="H39" s="136"/>
      <c r="I39" s="136"/>
      <c r="J39" s="136"/>
      <c r="K39" s="136"/>
      <c r="L39" s="136"/>
      <c r="M39" s="136"/>
      <c r="N39" s="59"/>
      <c r="O39" s="59"/>
    </row>
    <row r="40" spans="2:15" ht="21" customHeight="1" x14ac:dyDescent="0.3">
      <c r="B40" s="59"/>
      <c r="C40" s="59"/>
      <c r="D40" s="136"/>
      <c r="E40" s="136"/>
      <c r="F40" s="136"/>
      <c r="G40" s="136"/>
      <c r="H40" s="136"/>
      <c r="I40" s="136"/>
      <c r="J40" s="136"/>
      <c r="K40" s="136"/>
      <c r="L40" s="136"/>
      <c r="M40" s="136"/>
      <c r="N40" s="59"/>
      <c r="O40" s="59"/>
    </row>
    <row r="41" spans="2:15" ht="22.5" customHeight="1" x14ac:dyDescent="0.3">
      <c r="B41" s="59"/>
      <c r="C41" s="59"/>
      <c r="D41" s="121" t="s">
        <v>58</v>
      </c>
      <c r="E41" s="59"/>
      <c r="F41" s="59"/>
      <c r="G41" s="59"/>
      <c r="H41" s="59"/>
      <c r="I41" s="59"/>
      <c r="J41" s="59"/>
      <c r="K41" s="59"/>
      <c r="L41" s="59"/>
      <c r="M41" s="59"/>
      <c r="N41" s="59"/>
      <c r="O41" s="59"/>
    </row>
    <row r="42" spans="2:15" ht="21" customHeight="1" x14ac:dyDescent="0.3">
      <c r="B42" s="59"/>
      <c r="C42" s="59"/>
      <c r="D42" s="134" t="s">
        <v>408</v>
      </c>
      <c r="E42" s="134"/>
      <c r="F42" s="134"/>
      <c r="G42" s="134"/>
      <c r="H42" s="134"/>
      <c r="I42" s="134"/>
      <c r="J42" s="134"/>
      <c r="K42" s="134"/>
      <c r="L42" s="134"/>
      <c r="M42" s="134"/>
      <c r="N42" s="59"/>
      <c r="O42" s="59"/>
    </row>
    <row r="43" spans="2:15" ht="21" customHeight="1" x14ac:dyDescent="0.3">
      <c r="B43" s="59"/>
      <c r="C43" s="59"/>
      <c r="D43" s="134"/>
      <c r="E43" s="134"/>
      <c r="F43" s="134"/>
      <c r="G43" s="134"/>
      <c r="H43" s="134"/>
      <c r="I43" s="134"/>
      <c r="J43" s="134"/>
      <c r="K43" s="134"/>
      <c r="L43" s="134"/>
      <c r="M43" s="134"/>
      <c r="N43" s="59"/>
      <c r="O43" s="59"/>
    </row>
    <row r="44" spans="2:15" ht="21" customHeight="1" x14ac:dyDescent="0.3">
      <c r="B44" s="59"/>
      <c r="C44" s="59"/>
      <c r="D44" s="134"/>
      <c r="E44" s="134"/>
      <c r="F44" s="134"/>
      <c r="G44" s="134"/>
      <c r="H44" s="134"/>
      <c r="I44" s="134"/>
      <c r="J44" s="134"/>
      <c r="K44" s="134"/>
      <c r="L44" s="134"/>
      <c r="M44" s="134"/>
      <c r="N44" s="59"/>
      <c r="O44" s="59"/>
    </row>
    <row r="45" spans="2:15" x14ac:dyDescent="0.3">
      <c r="B45" s="59"/>
      <c r="C45" s="59"/>
      <c r="D45" s="59"/>
      <c r="E45" s="59"/>
      <c r="F45" s="59"/>
      <c r="G45" s="59"/>
      <c r="H45" s="59"/>
      <c r="I45" s="59"/>
      <c r="J45" s="59"/>
      <c r="K45" s="59"/>
      <c r="L45" s="59"/>
      <c r="M45" s="59"/>
      <c r="N45" s="59"/>
      <c r="O45" s="59"/>
    </row>
    <row r="134" spans="57:65" ht="16.2" thickBot="1" x14ac:dyDescent="0.35">
      <c r="BE134" s="15"/>
      <c r="BF134" s="16"/>
      <c r="BG134" s="17"/>
      <c r="BH134" s="18"/>
      <c r="BI134" s="18"/>
      <c r="BJ134" s="18"/>
      <c r="BK134" s="18"/>
      <c r="BL134" s="19"/>
      <c r="BM134" s="20"/>
    </row>
    <row r="135" spans="57:65" x14ac:dyDescent="0.3">
      <c r="BE135" s="21"/>
      <c r="BG135" s="22"/>
      <c r="BH135" s="23"/>
      <c r="BI135" s="23"/>
      <c r="BJ135" s="23"/>
      <c r="BK135" s="23"/>
      <c r="BL135" s="24"/>
      <c r="BM135" s="25"/>
    </row>
    <row r="136" spans="57:65" x14ac:dyDescent="0.3">
      <c r="BE136" s="21"/>
      <c r="BG136" s="26"/>
      <c r="BH136" s="27"/>
      <c r="BI136" s="27"/>
      <c r="BJ136" s="27"/>
      <c r="BK136" s="27"/>
      <c r="BL136" s="28"/>
      <c r="BM136" s="29"/>
    </row>
    <row r="137" spans="57:65" x14ac:dyDescent="0.3">
      <c r="BE137" s="21"/>
      <c r="BG137" s="26"/>
      <c r="BH137" s="27"/>
      <c r="BI137" s="27"/>
      <c r="BJ137" s="27"/>
      <c r="BK137" s="27"/>
      <c r="BL137" s="28"/>
      <c r="BM137" s="29"/>
    </row>
    <row r="138" spans="57:65" x14ac:dyDescent="0.3">
      <c r="BE138" s="21"/>
      <c r="BF138" s="30"/>
      <c r="BG138" s="26"/>
      <c r="BH138" s="27"/>
      <c r="BI138" s="27"/>
      <c r="BJ138" s="27"/>
      <c r="BK138" s="27"/>
      <c r="BL138" s="28"/>
      <c r="BM138" s="29"/>
    </row>
    <row r="139" spans="57:65" x14ac:dyDescent="0.3">
      <c r="BE139" s="21"/>
      <c r="BF139" s="30"/>
      <c r="BG139" s="26"/>
      <c r="BH139" s="27"/>
      <c r="BI139" s="27"/>
      <c r="BJ139" s="27"/>
      <c r="BK139" s="27"/>
      <c r="BL139" s="28"/>
      <c r="BM139" s="29"/>
    </row>
    <row r="140" spans="57:65" x14ac:dyDescent="0.3">
      <c r="BE140" s="21"/>
      <c r="BF140" s="30"/>
      <c r="BG140" s="26"/>
      <c r="BH140" s="27"/>
      <c r="BI140" s="27"/>
      <c r="BJ140" s="27"/>
      <c r="BK140" s="27"/>
      <c r="BL140" s="28"/>
      <c r="BM140" s="29"/>
    </row>
    <row r="141" spans="57:65" x14ac:dyDescent="0.3">
      <c r="BE141" s="31"/>
      <c r="BF141" s="32"/>
      <c r="BG141" s="33"/>
      <c r="BH141" s="34"/>
      <c r="BI141" s="34"/>
      <c r="BJ141" s="34"/>
      <c r="BK141" s="34"/>
      <c r="BL141" s="35"/>
      <c r="BM141" s="36"/>
    </row>
    <row r="142" spans="57:65" x14ac:dyDescent="0.3">
      <c r="BE142" s="21"/>
      <c r="BF142" s="30"/>
      <c r="BG142" s="26"/>
      <c r="BH142" s="27"/>
      <c r="BI142" s="27"/>
      <c r="BJ142" s="27"/>
      <c r="BK142" s="27"/>
      <c r="BL142" s="28"/>
      <c r="BM142" s="37"/>
    </row>
    <row r="143" spans="57:65" x14ac:dyDescent="0.3">
      <c r="BE143" s="21"/>
      <c r="BF143" s="30"/>
      <c r="BG143" s="26"/>
      <c r="BH143" s="27"/>
      <c r="BI143" s="27"/>
      <c r="BJ143" s="27"/>
      <c r="BK143" s="27"/>
      <c r="BL143" s="28"/>
      <c r="BM143" s="29"/>
    </row>
    <row r="144" spans="57:65" x14ac:dyDescent="0.3">
      <c r="BE144" s="38"/>
      <c r="BF144" s="39"/>
      <c r="BG144" s="40"/>
      <c r="BH144" s="41"/>
      <c r="BI144" s="41"/>
      <c r="BJ144" s="41"/>
      <c r="BK144" s="41"/>
      <c r="BL144" s="42"/>
      <c r="BM144" s="37"/>
    </row>
    <row r="145" spans="57:65" x14ac:dyDescent="0.3">
      <c r="BE145" s="31"/>
      <c r="BF145" s="32"/>
      <c r="BG145" s="33"/>
      <c r="BH145" s="34"/>
      <c r="BI145" s="34"/>
      <c r="BJ145" s="34"/>
      <c r="BK145" s="34"/>
      <c r="BL145" s="35"/>
      <c r="BM145" s="36"/>
    </row>
    <row r="146" spans="57:65" x14ac:dyDescent="0.3">
      <c r="BE146" s="21"/>
      <c r="BF146" s="30"/>
      <c r="BG146" s="26"/>
      <c r="BH146" s="27"/>
      <c r="BI146" s="27"/>
      <c r="BJ146" s="27"/>
      <c r="BK146" s="27"/>
      <c r="BL146" s="28"/>
      <c r="BM146" s="43"/>
    </row>
    <row r="147" spans="57:65" x14ac:dyDescent="0.3">
      <c r="BE147" s="31"/>
      <c r="BF147" s="32"/>
      <c r="BG147" s="33"/>
      <c r="BH147" s="34"/>
      <c r="BI147" s="34"/>
      <c r="BJ147" s="34"/>
      <c r="BK147" s="34"/>
      <c r="BL147" s="35"/>
      <c r="BM147" s="36"/>
    </row>
    <row r="148" spans="57:65" x14ac:dyDescent="0.3">
      <c r="BE148" s="21"/>
      <c r="BF148" s="30"/>
      <c r="BG148" s="26"/>
      <c r="BH148" s="27"/>
      <c r="BI148" s="27"/>
      <c r="BJ148" s="27"/>
      <c r="BK148" s="27"/>
      <c r="BL148" s="28"/>
      <c r="BM148" s="37"/>
    </row>
    <row r="149" spans="57:65" x14ac:dyDescent="0.3">
      <c r="BE149" s="21"/>
      <c r="BF149" s="30"/>
      <c r="BG149" s="26"/>
      <c r="BH149" s="27"/>
      <c r="BI149" s="27"/>
      <c r="BJ149" s="27"/>
      <c r="BK149" s="27"/>
      <c r="BL149" s="28"/>
      <c r="BM149" s="37"/>
    </row>
    <row r="150" spans="57:65" x14ac:dyDescent="0.3">
      <c r="BE150" s="21"/>
      <c r="BF150" s="30"/>
      <c r="BG150" s="26"/>
      <c r="BH150" s="27"/>
      <c r="BI150" s="27"/>
      <c r="BJ150" s="27"/>
      <c r="BK150" s="27"/>
      <c r="BL150" s="28"/>
      <c r="BM150" s="37"/>
    </row>
    <row r="151" spans="57:65" x14ac:dyDescent="0.3">
      <c r="BE151" s="21"/>
      <c r="BF151" s="30"/>
      <c r="BG151" s="26"/>
      <c r="BH151" s="27"/>
      <c r="BI151" s="27"/>
      <c r="BJ151" s="27"/>
      <c r="BK151" s="27"/>
      <c r="BL151" s="28"/>
      <c r="BM151" s="37"/>
    </row>
    <row r="152" spans="57:65" x14ac:dyDescent="0.3">
      <c r="BE152" s="21"/>
      <c r="BF152" s="30"/>
      <c r="BG152" s="26"/>
      <c r="BH152" s="27"/>
      <c r="BI152" s="27"/>
      <c r="BJ152" s="27"/>
      <c r="BK152" s="27"/>
      <c r="BL152" s="28"/>
      <c r="BM152" s="37"/>
    </row>
    <row r="153" spans="57:65" x14ac:dyDescent="0.3">
      <c r="BE153" s="31"/>
      <c r="BF153" s="32"/>
      <c r="BG153" s="33"/>
      <c r="BH153" s="34"/>
      <c r="BI153" s="34"/>
      <c r="BJ153" s="34"/>
      <c r="BK153" s="34"/>
      <c r="BL153" s="35"/>
      <c r="BM153" s="36"/>
    </row>
    <row r="154" spans="57:65" x14ac:dyDescent="0.3">
      <c r="BE154" s="21"/>
      <c r="BF154" s="30"/>
      <c r="BG154" s="26"/>
      <c r="BH154" s="27"/>
      <c r="BI154" s="27"/>
      <c r="BJ154" s="27"/>
      <c r="BK154" s="27"/>
      <c r="BL154" s="28"/>
      <c r="BM154" s="37"/>
    </row>
    <row r="155" spans="57:65" x14ac:dyDescent="0.3">
      <c r="BE155" s="38"/>
      <c r="BF155" s="39"/>
      <c r="BG155" s="40"/>
      <c r="BH155" s="41"/>
      <c r="BI155" s="41"/>
      <c r="BJ155" s="41"/>
      <c r="BK155" s="41"/>
      <c r="BL155" s="42"/>
      <c r="BM155" s="44"/>
    </row>
    <row r="156" spans="57:65" x14ac:dyDescent="0.3">
      <c r="BE156" s="31"/>
      <c r="BF156" s="45"/>
      <c r="BG156" s="33"/>
      <c r="BH156" s="34"/>
      <c r="BI156" s="34"/>
      <c r="BJ156" s="34"/>
      <c r="BK156" s="34"/>
      <c r="BL156" s="35"/>
      <c r="BM156" s="36"/>
    </row>
    <row r="157" spans="57:65" x14ac:dyDescent="0.3">
      <c r="BE157" s="21"/>
      <c r="BG157" s="26"/>
      <c r="BH157" s="27"/>
      <c r="BI157" s="27"/>
      <c r="BJ157" s="27"/>
      <c r="BK157" s="27"/>
      <c r="BL157" s="28"/>
      <c r="BM157" s="37"/>
    </row>
    <row r="158" spans="57:65" x14ac:dyDescent="0.3">
      <c r="BE158" s="21"/>
      <c r="BG158" s="26"/>
      <c r="BH158" s="27"/>
      <c r="BI158" s="27"/>
      <c r="BJ158" s="27"/>
      <c r="BK158" s="27"/>
      <c r="BL158" s="28"/>
      <c r="BM158" s="46"/>
    </row>
    <row r="159" spans="57:65" x14ac:dyDescent="0.3">
      <c r="BE159" s="21"/>
      <c r="BG159" s="26"/>
      <c r="BH159" s="27"/>
      <c r="BI159" s="27"/>
      <c r="BJ159" s="27"/>
      <c r="BK159" s="27"/>
      <c r="BL159" s="28"/>
      <c r="BM159" s="46"/>
    </row>
    <row r="160" spans="57:65" x14ac:dyDescent="0.3">
      <c r="BE160" s="31"/>
      <c r="BF160" s="45"/>
      <c r="BG160" s="33"/>
      <c r="BH160" s="34"/>
      <c r="BI160" s="34"/>
      <c r="BJ160" s="34"/>
      <c r="BK160" s="34"/>
      <c r="BL160" s="47"/>
      <c r="BM160" s="36"/>
    </row>
    <row r="161" spans="57:65" x14ac:dyDescent="0.3">
      <c r="BE161" s="21"/>
      <c r="BF161" s="30"/>
      <c r="BG161" s="26"/>
      <c r="BH161" s="27"/>
      <c r="BI161" s="27"/>
      <c r="BJ161" s="27"/>
      <c r="BK161" s="27"/>
      <c r="BL161" s="48"/>
      <c r="BM161" s="29"/>
    </row>
    <row r="162" spans="57:65" x14ac:dyDescent="0.3">
      <c r="BE162" s="21"/>
      <c r="BF162" s="30"/>
      <c r="BG162" s="26"/>
      <c r="BH162" s="27"/>
      <c r="BI162" s="27"/>
      <c r="BJ162" s="27"/>
      <c r="BK162" s="27"/>
      <c r="BL162" s="48"/>
      <c r="BM162" s="29"/>
    </row>
    <row r="163" spans="57:65" ht="15" thickBot="1" x14ac:dyDescent="0.35">
      <c r="BE163" s="38"/>
      <c r="BF163" s="39"/>
      <c r="BG163" s="40"/>
      <c r="BH163" s="41"/>
      <c r="BI163" s="41"/>
      <c r="BJ163" s="41"/>
      <c r="BK163" s="41"/>
      <c r="BL163" s="49"/>
      <c r="BM163" s="29"/>
    </row>
    <row r="164" spans="57:65" ht="15" thickBot="1" x14ac:dyDescent="0.35">
      <c r="BF164" s="30"/>
      <c r="BM164" s="50"/>
    </row>
  </sheetData>
  <sheetProtection algorithmName="SHA-512" hashValue="cYleqjOAhO+M+dDDKAG+wQ/SPoSvygGCKj+Q1vyAyA9FtMmJpz1Q9Ic/QrIEwhVfwXGSld3sf4ITaMFBicCSNQ==" saltValue="VG2xBWD/Z68RByZYM0xPmw==" spinCount="100000" sheet="1" objects="1" scenarios="1" selectLockedCells="1"/>
  <mergeCells count="8">
    <mergeCell ref="D42:M44"/>
    <mergeCell ref="D9:M10"/>
    <mergeCell ref="D28:M30"/>
    <mergeCell ref="D32:M32"/>
    <mergeCell ref="D18:M21"/>
    <mergeCell ref="D39:M40"/>
    <mergeCell ref="D37:M37"/>
    <mergeCell ref="D13: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22A3-656F-497D-BF83-413500332C6A}">
  <sheetPr codeName="Sheet1">
    <tabColor theme="3"/>
    <pageSetUpPr fitToPage="1"/>
  </sheetPr>
  <dimension ref="B1:EG41"/>
  <sheetViews>
    <sheetView zoomScale="55" zoomScaleNormal="55" workbookViewId="0">
      <selection activeCell="M8" sqref="M8:W8"/>
    </sheetView>
  </sheetViews>
  <sheetFormatPr defaultColWidth="2.5546875" defaultRowHeight="14.4" x14ac:dyDescent="0.3"/>
  <cols>
    <col min="1" max="1" width="2.5546875" style="73"/>
    <col min="2" max="2" width="1.33203125" style="73" customWidth="1"/>
    <col min="3" max="38" width="2.5546875" style="73"/>
    <col min="39" max="39" width="2.5546875" style="73" customWidth="1"/>
    <col min="40" max="43" width="2.5546875" style="73"/>
    <col min="44" max="44" width="1.33203125" style="74" customWidth="1"/>
    <col min="45" max="48" width="1.33203125" style="73" customWidth="1"/>
    <col min="49" max="84" width="2.5546875" style="73"/>
    <col min="85" max="85" width="2.5546875" style="73" customWidth="1"/>
    <col min="86" max="89" width="2.5546875" style="73"/>
    <col min="90" max="94" width="1.33203125" style="73" customWidth="1"/>
    <col min="95" max="118" width="2.5546875" style="73"/>
    <col min="119" max="119" width="1.109375" style="73" customWidth="1"/>
    <col min="120" max="122" width="2.5546875" style="73"/>
    <col min="123" max="123" width="0.88671875" style="73" customWidth="1"/>
    <col min="124" max="124" width="2.5546875" style="73"/>
    <col min="125" max="125" width="1.109375" style="73" customWidth="1"/>
    <col min="126" max="128" width="2.5546875" style="73"/>
    <col min="129" max="129" width="0.88671875" style="73" customWidth="1"/>
    <col min="130" max="130" width="2.5546875" style="73"/>
    <col min="131" max="131" width="2.44140625" style="73" customWidth="1"/>
    <col min="132" max="136" width="2.5546875" style="73"/>
    <col min="137" max="137" width="1.33203125" style="73" customWidth="1"/>
    <col min="138" max="16384" width="2.5546875" style="73"/>
  </cols>
  <sheetData>
    <row r="1" spans="2:137" ht="8.25" customHeight="1" x14ac:dyDescent="0.3">
      <c r="CL1" s="74"/>
    </row>
    <row r="2" spans="2:137" ht="8.25" customHeight="1" x14ac:dyDescent="0.3">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75"/>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75"/>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row>
    <row r="3" spans="2:137" ht="26.25" customHeight="1" x14ac:dyDescent="0.5">
      <c r="B3" s="59"/>
      <c r="C3" s="118" t="s">
        <v>157</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c r="AL3" s="59"/>
      <c r="AM3" s="59"/>
      <c r="AN3" s="59"/>
      <c r="AO3" s="59"/>
      <c r="AP3" s="59"/>
      <c r="AQ3" s="59"/>
      <c r="AR3" s="75"/>
      <c r="AV3" s="59"/>
      <c r="AW3" s="118" t="s">
        <v>157</v>
      </c>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c r="CF3" s="59"/>
      <c r="CG3" s="59"/>
      <c r="CH3" s="59"/>
      <c r="CI3" s="59"/>
      <c r="CJ3" s="59"/>
      <c r="CK3" s="59"/>
      <c r="CL3" s="75"/>
      <c r="CP3" s="59"/>
      <c r="CQ3" s="122" t="s">
        <v>156</v>
      </c>
      <c r="CR3" s="123"/>
      <c r="CS3" s="123"/>
      <c r="CT3" s="123"/>
      <c r="CU3" s="123"/>
      <c r="CV3" s="123"/>
      <c r="CW3" s="123"/>
      <c r="CX3" s="123"/>
      <c r="CY3" s="123"/>
      <c r="CZ3" s="123"/>
      <c r="DA3" s="124"/>
      <c r="DB3" s="124"/>
      <c r="DC3" s="124"/>
      <c r="DD3" s="124"/>
      <c r="DE3" s="124"/>
      <c r="DF3" s="125"/>
      <c r="DG3" s="125"/>
      <c r="DH3" s="125"/>
      <c r="DI3" s="125"/>
      <c r="DJ3" s="125"/>
      <c r="DK3" s="125"/>
      <c r="DL3" s="125"/>
      <c r="DM3" s="125"/>
      <c r="DN3" s="125"/>
      <c r="DO3" s="125"/>
      <c r="DP3" s="124"/>
      <c r="DQ3" s="124"/>
      <c r="DR3" s="124"/>
      <c r="DS3" s="124"/>
      <c r="DT3" s="124"/>
      <c r="DU3" s="124"/>
      <c r="DV3" s="124"/>
      <c r="DW3" s="124"/>
      <c r="DX3" s="124"/>
      <c r="DY3" s="124"/>
      <c r="DZ3" s="124"/>
      <c r="EA3" s="124"/>
      <c r="EB3" s="124"/>
      <c r="EC3" s="124"/>
      <c r="ED3" s="124"/>
      <c r="EE3" s="124"/>
      <c r="EF3" s="124"/>
      <c r="EG3" s="59"/>
    </row>
    <row r="4" spans="2:137" ht="20.25" customHeight="1" x14ac:dyDescent="0.3">
      <c r="B4" s="59"/>
      <c r="C4" s="63" t="s">
        <v>426</v>
      </c>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75"/>
      <c r="AV4" s="59"/>
      <c r="AW4" s="63" t="s">
        <v>426</v>
      </c>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75"/>
      <c r="CP4" s="59"/>
      <c r="CQ4" s="172" t="s">
        <v>80</v>
      </c>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59"/>
      <c r="DT4" s="59"/>
      <c r="DU4" s="171">
        <f ca="1">SUM(DN22:DR34)</f>
        <v>0</v>
      </c>
      <c r="DV4" s="171"/>
      <c r="DW4" s="171"/>
      <c r="DX4" s="171"/>
      <c r="DY4" s="171"/>
      <c r="DZ4" s="171"/>
      <c r="EA4" s="171"/>
      <c r="EB4" s="171"/>
      <c r="EC4" s="171"/>
      <c r="ED4" s="171"/>
      <c r="EE4" s="171"/>
      <c r="EF4" s="171"/>
      <c r="EG4" s="59"/>
    </row>
    <row r="5" spans="2:137" ht="8.25" customHeight="1" x14ac:dyDescent="0.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75"/>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75"/>
      <c r="CP5" s="59"/>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59"/>
      <c r="DT5" s="59"/>
      <c r="DU5" s="171"/>
      <c r="DV5" s="171"/>
      <c r="DW5" s="171"/>
      <c r="DX5" s="171"/>
      <c r="DY5" s="171"/>
      <c r="DZ5" s="171"/>
      <c r="EA5" s="171"/>
      <c r="EB5" s="171"/>
      <c r="EC5" s="171"/>
      <c r="ED5" s="171"/>
      <c r="EE5" s="171"/>
      <c r="EF5" s="171"/>
      <c r="EG5" s="59"/>
    </row>
    <row r="6" spans="2:137" ht="26.25" customHeight="1" x14ac:dyDescent="0.5">
      <c r="B6" s="59"/>
      <c r="C6" s="122" t="s">
        <v>76</v>
      </c>
      <c r="D6" s="123"/>
      <c r="E6" s="123"/>
      <c r="F6" s="123"/>
      <c r="G6" s="123"/>
      <c r="H6" s="123"/>
      <c r="I6" s="123"/>
      <c r="J6" s="123"/>
      <c r="K6" s="123"/>
      <c r="L6" s="123"/>
      <c r="M6" s="124"/>
      <c r="N6" s="124"/>
      <c r="O6" s="124"/>
      <c r="P6" s="124"/>
      <c r="Q6" s="124"/>
      <c r="R6" s="125"/>
      <c r="S6" s="125"/>
      <c r="T6" s="125"/>
      <c r="U6" s="125"/>
      <c r="V6" s="125"/>
      <c r="W6" s="125"/>
      <c r="X6" s="125"/>
      <c r="Y6" s="125"/>
      <c r="Z6" s="125"/>
      <c r="AA6" s="125"/>
      <c r="AB6" s="124"/>
      <c r="AC6" s="124"/>
      <c r="AD6" s="124"/>
      <c r="AE6" s="124"/>
      <c r="AF6" s="124"/>
      <c r="AG6" s="124"/>
      <c r="AH6" s="124"/>
      <c r="AI6" s="124"/>
      <c r="AJ6" s="124"/>
      <c r="AK6" s="124"/>
      <c r="AL6" s="124"/>
      <c r="AM6" s="124"/>
      <c r="AN6" s="124"/>
      <c r="AO6" s="124"/>
      <c r="AP6" s="124"/>
      <c r="AQ6" s="124"/>
      <c r="AR6" s="75"/>
      <c r="AV6" s="59"/>
      <c r="AW6" s="122" t="s">
        <v>392</v>
      </c>
      <c r="AX6" s="123"/>
      <c r="AY6" s="123"/>
      <c r="AZ6" s="123"/>
      <c r="BA6" s="123"/>
      <c r="BB6" s="123"/>
      <c r="BC6" s="123"/>
      <c r="BD6" s="123"/>
      <c r="BE6" s="123"/>
      <c r="BF6" s="123"/>
      <c r="BG6" s="124"/>
      <c r="BH6" s="124"/>
      <c r="BI6" s="124"/>
      <c r="BJ6" s="124"/>
      <c r="BK6" s="124"/>
      <c r="BL6" s="125"/>
      <c r="BM6" s="125"/>
      <c r="BN6" s="125"/>
      <c r="BO6" s="125"/>
      <c r="BP6" s="125"/>
      <c r="BQ6" s="125"/>
      <c r="BR6" s="125"/>
      <c r="BS6" s="125"/>
      <c r="BT6" s="125"/>
      <c r="BU6" s="125"/>
      <c r="BV6" s="124"/>
      <c r="BW6" s="124"/>
      <c r="BX6" s="124"/>
      <c r="BY6" s="124"/>
      <c r="BZ6" s="124"/>
      <c r="CA6" s="124"/>
      <c r="CB6" s="124"/>
      <c r="CC6" s="124"/>
      <c r="CD6" s="124"/>
      <c r="CE6" s="124"/>
      <c r="CF6" s="124"/>
      <c r="CG6" s="124"/>
      <c r="CH6" s="124"/>
      <c r="CI6" s="124"/>
      <c r="CJ6" s="124"/>
      <c r="CK6" s="124"/>
      <c r="CL6" s="75"/>
      <c r="CP6" s="59"/>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59"/>
      <c r="DT6" s="59"/>
      <c r="DU6" s="171"/>
      <c r="DV6" s="171"/>
      <c r="DW6" s="171"/>
      <c r="DX6" s="171"/>
      <c r="DY6" s="171"/>
      <c r="DZ6" s="171"/>
      <c r="EA6" s="171"/>
      <c r="EB6" s="171"/>
      <c r="EC6" s="171"/>
      <c r="ED6" s="171"/>
      <c r="EE6" s="171"/>
      <c r="EF6" s="171"/>
      <c r="EG6" s="59"/>
    </row>
    <row r="7" spans="2:137" ht="26.25" customHeight="1" x14ac:dyDescent="0.5">
      <c r="B7" s="59"/>
      <c r="C7" s="118" t="s">
        <v>304</v>
      </c>
      <c r="D7" s="76"/>
      <c r="E7" s="76"/>
      <c r="F7" s="76"/>
      <c r="G7" s="76"/>
      <c r="H7" s="76"/>
      <c r="I7" s="76"/>
      <c r="J7" s="76"/>
      <c r="K7" s="76"/>
      <c r="L7" s="76"/>
      <c r="M7" s="59"/>
      <c r="N7" s="59"/>
      <c r="O7" s="59"/>
      <c r="P7" s="59"/>
      <c r="Q7" s="59"/>
      <c r="R7" s="77"/>
      <c r="S7" s="77"/>
      <c r="T7" s="77"/>
      <c r="U7" s="77"/>
      <c r="V7" s="77"/>
      <c r="W7" s="77"/>
      <c r="X7" s="77"/>
      <c r="Y7" s="77"/>
      <c r="Z7" s="77"/>
      <c r="AA7" s="77"/>
      <c r="AB7" s="59"/>
      <c r="AC7" s="59"/>
      <c r="AD7" s="59"/>
      <c r="AE7" s="59"/>
      <c r="AF7" s="59"/>
      <c r="AG7" s="59"/>
      <c r="AH7" s="59"/>
      <c r="AI7" s="59"/>
      <c r="AJ7" s="59"/>
      <c r="AK7" s="59"/>
      <c r="AL7" s="59"/>
      <c r="AM7" s="59"/>
      <c r="AN7" s="59"/>
      <c r="AO7" s="59"/>
      <c r="AP7" s="59"/>
      <c r="AQ7" s="59"/>
      <c r="AR7" s="75"/>
      <c r="AV7" s="59"/>
      <c r="AW7" s="118" t="s">
        <v>393</v>
      </c>
      <c r="AX7" s="78"/>
      <c r="AY7" s="78"/>
      <c r="AZ7" s="78"/>
      <c r="BA7" s="78"/>
      <c r="BB7" s="76"/>
      <c r="BC7" s="59"/>
      <c r="BD7" s="59"/>
      <c r="BE7" s="59"/>
      <c r="BF7" s="59"/>
      <c r="BG7" s="59"/>
      <c r="BH7" s="59"/>
      <c r="BI7" s="59"/>
      <c r="BJ7" s="59"/>
      <c r="BK7" s="59"/>
      <c r="BL7" s="59"/>
      <c r="BM7" s="59"/>
      <c r="BN7" s="59"/>
      <c r="BO7" s="59"/>
      <c r="BP7" s="59"/>
      <c r="BQ7" s="59"/>
      <c r="BR7" s="59"/>
      <c r="BS7" s="59"/>
      <c r="BT7" s="59"/>
      <c r="BU7" s="59"/>
      <c r="BV7" s="59"/>
      <c r="BW7" s="59"/>
      <c r="BX7" s="163" t="s">
        <v>56</v>
      </c>
      <c r="BY7" s="163"/>
      <c r="BZ7" s="163"/>
      <c r="CA7" s="163"/>
      <c r="CB7" s="164"/>
      <c r="CC7" s="164"/>
      <c r="CD7" s="164"/>
      <c r="CE7" s="164"/>
      <c r="CF7" s="59"/>
      <c r="CG7" s="59"/>
      <c r="CH7" s="78"/>
      <c r="CI7" s="78"/>
      <c r="CJ7" s="78"/>
      <c r="CK7" s="78"/>
      <c r="CL7" s="75"/>
      <c r="CP7" s="59"/>
      <c r="CQ7" s="76"/>
      <c r="CR7" s="76"/>
      <c r="CS7" s="76"/>
      <c r="CT7" s="76"/>
      <c r="CU7" s="76"/>
      <c r="CV7" s="60"/>
      <c r="CW7" s="60"/>
      <c r="CX7" s="60"/>
      <c r="CY7" s="60"/>
      <c r="CZ7" s="60"/>
      <c r="DA7" s="60"/>
      <c r="DB7" s="60"/>
      <c r="DC7" s="60"/>
      <c r="DD7" s="60"/>
      <c r="DE7" s="60"/>
      <c r="DF7" s="60"/>
      <c r="DG7" s="60"/>
      <c r="DH7" s="60"/>
      <c r="DI7" s="60"/>
      <c r="DJ7" s="60"/>
      <c r="DK7" s="60"/>
      <c r="DL7" s="60"/>
      <c r="DM7" s="60"/>
      <c r="DN7" s="60"/>
      <c r="DO7" s="60"/>
      <c r="DP7" s="59"/>
      <c r="DQ7" s="59"/>
      <c r="DR7" s="59"/>
      <c r="DS7" s="59"/>
      <c r="DT7" s="59"/>
      <c r="DU7" s="60"/>
      <c r="DV7" s="59"/>
      <c r="DW7" s="59"/>
      <c r="DX7" s="59"/>
      <c r="DY7" s="59"/>
      <c r="DZ7" s="59"/>
      <c r="EA7" s="59"/>
      <c r="EB7" s="59"/>
      <c r="EC7" s="59"/>
      <c r="ED7" s="59"/>
      <c r="EE7" s="59"/>
      <c r="EF7" s="59"/>
      <c r="EG7" s="59"/>
    </row>
    <row r="8" spans="2:137" ht="26.25" customHeight="1" x14ac:dyDescent="0.4">
      <c r="B8" s="59"/>
      <c r="C8" s="61" t="s">
        <v>307</v>
      </c>
      <c r="D8" s="61"/>
      <c r="E8" s="61"/>
      <c r="F8" s="61"/>
      <c r="G8" s="61"/>
      <c r="H8" s="61"/>
      <c r="I8" s="61"/>
      <c r="J8" s="61"/>
      <c r="K8" s="61"/>
      <c r="L8" s="61"/>
      <c r="M8" s="168"/>
      <c r="N8" s="169"/>
      <c r="O8" s="169"/>
      <c r="P8" s="169"/>
      <c r="Q8" s="169"/>
      <c r="R8" s="169"/>
      <c r="S8" s="169"/>
      <c r="T8" s="169"/>
      <c r="U8" s="169"/>
      <c r="V8" s="169"/>
      <c r="W8" s="170"/>
      <c r="X8" s="61" t="s">
        <v>308</v>
      </c>
      <c r="Y8" s="61"/>
      <c r="Z8" s="61"/>
      <c r="AA8" s="61"/>
      <c r="AB8" s="61"/>
      <c r="AC8" s="61"/>
      <c r="AD8" s="61"/>
      <c r="AE8" s="61"/>
      <c r="AF8" s="168"/>
      <c r="AG8" s="169"/>
      <c r="AH8" s="169"/>
      <c r="AI8" s="169"/>
      <c r="AJ8" s="169"/>
      <c r="AK8" s="169"/>
      <c r="AL8" s="169"/>
      <c r="AM8" s="169"/>
      <c r="AN8" s="169"/>
      <c r="AO8" s="169"/>
      <c r="AP8" s="169"/>
      <c r="AQ8" s="170"/>
      <c r="AR8" s="75"/>
      <c r="AV8" s="59"/>
      <c r="AW8" s="61"/>
      <c r="AX8" s="78"/>
      <c r="AY8" s="78"/>
      <c r="AZ8" s="78"/>
      <c r="BA8" s="78"/>
      <c r="BB8" s="78"/>
      <c r="BC8" s="59"/>
      <c r="BD8" s="59"/>
      <c r="BE8" s="59"/>
      <c r="BF8" s="59"/>
      <c r="BG8" s="59"/>
      <c r="BH8" s="59"/>
      <c r="BI8" s="59"/>
      <c r="BJ8" s="59"/>
      <c r="BK8" s="59"/>
      <c r="BL8" s="59"/>
      <c r="BM8" s="59"/>
      <c r="BN8" s="59"/>
      <c r="BO8" s="59"/>
      <c r="BP8" s="59"/>
      <c r="BQ8" s="59"/>
      <c r="BR8" s="59"/>
      <c r="BS8" s="59"/>
      <c r="BT8" s="59"/>
      <c r="BU8" s="59"/>
      <c r="BV8" s="59"/>
      <c r="BW8" s="59"/>
      <c r="BX8" s="163"/>
      <c r="BY8" s="163"/>
      <c r="BZ8" s="163"/>
      <c r="CA8" s="163"/>
      <c r="CB8" s="164"/>
      <c r="CC8" s="164"/>
      <c r="CD8" s="164"/>
      <c r="CE8" s="164"/>
      <c r="CF8" s="79"/>
      <c r="CG8" s="59"/>
      <c r="CH8" s="166" t="s">
        <v>57</v>
      </c>
      <c r="CI8" s="166"/>
      <c r="CJ8" s="166"/>
      <c r="CK8" s="166"/>
      <c r="CL8" s="75"/>
      <c r="CP8" s="59"/>
      <c r="CQ8" s="76"/>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row>
    <row r="9" spans="2:137" ht="26.25" customHeight="1" x14ac:dyDescent="0.4">
      <c r="B9" s="59"/>
      <c r="C9" s="61" t="s">
        <v>409</v>
      </c>
      <c r="D9" s="61"/>
      <c r="E9" s="61"/>
      <c r="F9" s="61"/>
      <c r="G9" s="61"/>
      <c r="H9" s="61"/>
      <c r="I9" s="61"/>
      <c r="J9" s="61"/>
      <c r="K9" s="61"/>
      <c r="L9" s="61"/>
      <c r="M9" s="168"/>
      <c r="N9" s="169"/>
      <c r="O9" s="169"/>
      <c r="P9" s="169"/>
      <c r="Q9" s="169"/>
      <c r="R9" s="169"/>
      <c r="S9" s="169"/>
      <c r="T9" s="169"/>
      <c r="U9" s="169"/>
      <c r="V9" s="169"/>
      <c r="W9" s="170"/>
      <c r="X9" s="61" t="s">
        <v>309</v>
      </c>
      <c r="Y9" s="61"/>
      <c r="Z9" s="61"/>
      <c r="AA9" s="61"/>
      <c r="AB9" s="61"/>
      <c r="AC9" s="61"/>
      <c r="AD9" s="61"/>
      <c r="AE9" s="61"/>
      <c r="AF9" s="168"/>
      <c r="AG9" s="169"/>
      <c r="AH9" s="169"/>
      <c r="AI9" s="169"/>
      <c r="AJ9" s="169"/>
      <c r="AK9" s="169"/>
      <c r="AL9" s="169"/>
      <c r="AM9" s="169"/>
      <c r="AN9" s="169"/>
      <c r="AO9" s="169"/>
      <c r="AP9" s="169"/>
      <c r="AQ9" s="170"/>
      <c r="AR9" s="75"/>
      <c r="AV9" s="59"/>
      <c r="AW9" s="76" t="s">
        <v>53</v>
      </c>
      <c r="AX9" s="80"/>
      <c r="AY9" s="80"/>
      <c r="AZ9" s="80"/>
      <c r="BA9" s="80"/>
      <c r="BB9" s="80"/>
      <c r="BC9" s="59"/>
      <c r="BD9" s="59"/>
      <c r="BE9" s="59"/>
      <c r="BF9" s="59"/>
      <c r="BG9" s="59"/>
      <c r="BH9" s="59"/>
      <c r="BI9" s="59"/>
      <c r="BJ9" s="59"/>
      <c r="BK9" s="59"/>
      <c r="BL9" s="59"/>
      <c r="BM9" s="59"/>
      <c r="BN9" s="59"/>
      <c r="BO9" s="59"/>
      <c r="BP9" s="59"/>
      <c r="BQ9" s="59"/>
      <c r="BR9" s="59"/>
      <c r="BS9" s="59"/>
      <c r="BT9" s="59"/>
      <c r="BU9" s="59"/>
      <c r="BV9" s="59"/>
      <c r="BW9" s="59"/>
      <c r="BX9" s="173"/>
      <c r="BY9" s="173"/>
      <c r="BZ9" s="173"/>
      <c r="CA9" s="173"/>
      <c r="CB9" s="174" t="s">
        <v>145</v>
      </c>
      <c r="CC9" s="174"/>
      <c r="CD9" s="81"/>
      <c r="CE9" s="81"/>
      <c r="CF9" s="174"/>
      <c r="CG9" s="174"/>
      <c r="CH9" s="157"/>
      <c r="CI9" s="157"/>
      <c r="CJ9" s="157"/>
      <c r="CK9" s="157"/>
      <c r="CL9" s="75"/>
      <c r="CP9" s="59"/>
      <c r="CQ9" s="76"/>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row>
    <row r="10" spans="2:137" ht="26.25" customHeight="1" x14ac:dyDescent="0.4">
      <c r="B10" s="59"/>
      <c r="C10" s="61" t="s">
        <v>421</v>
      </c>
      <c r="D10" s="61"/>
      <c r="E10" s="61"/>
      <c r="F10" s="61"/>
      <c r="G10" s="61"/>
      <c r="H10" s="61"/>
      <c r="I10" s="61"/>
      <c r="J10" s="61"/>
      <c r="K10" s="61"/>
      <c r="L10" s="61"/>
      <c r="M10" s="168"/>
      <c r="N10" s="169"/>
      <c r="O10" s="169"/>
      <c r="P10" s="169"/>
      <c r="Q10" s="169"/>
      <c r="R10" s="169"/>
      <c r="S10" s="169"/>
      <c r="T10" s="169"/>
      <c r="U10" s="169"/>
      <c r="V10" s="169"/>
      <c r="W10" s="170"/>
      <c r="X10" s="61" t="s">
        <v>310</v>
      </c>
      <c r="Y10" s="61"/>
      <c r="Z10" s="61"/>
      <c r="AA10" s="61"/>
      <c r="AB10" s="61"/>
      <c r="AC10" s="61"/>
      <c r="AD10" s="61"/>
      <c r="AE10" s="61"/>
      <c r="AF10" s="168"/>
      <c r="AG10" s="169"/>
      <c r="AH10" s="169"/>
      <c r="AI10" s="169"/>
      <c r="AJ10" s="169"/>
      <c r="AK10" s="169"/>
      <c r="AL10" s="169"/>
      <c r="AM10" s="169"/>
      <c r="AN10" s="169"/>
      <c r="AO10" s="169"/>
      <c r="AP10" s="169"/>
      <c r="AQ10" s="170"/>
      <c r="AR10" s="75"/>
      <c r="AV10" s="59"/>
      <c r="AW10" s="76" t="s">
        <v>306</v>
      </c>
      <c r="AX10" s="80"/>
      <c r="AY10" s="80"/>
      <c r="AZ10" s="80"/>
      <c r="BA10" s="80"/>
      <c r="BB10" s="80"/>
      <c r="BC10" s="59"/>
      <c r="BD10" s="59"/>
      <c r="BE10" s="59"/>
      <c r="BF10" s="59"/>
      <c r="BG10" s="59"/>
      <c r="BH10" s="59"/>
      <c r="BI10" s="59"/>
      <c r="BJ10" s="59"/>
      <c r="BK10" s="59"/>
      <c r="BL10" s="59"/>
      <c r="BM10" s="59"/>
      <c r="BN10" s="59"/>
      <c r="BO10" s="59"/>
      <c r="BP10" s="59"/>
      <c r="BQ10" s="59"/>
      <c r="BR10" s="59"/>
      <c r="BS10" s="59"/>
      <c r="BT10" s="59"/>
      <c r="BU10" s="59"/>
      <c r="BV10" s="59"/>
      <c r="BW10" s="59"/>
      <c r="BX10" s="173"/>
      <c r="BY10" s="173"/>
      <c r="BZ10" s="173"/>
      <c r="CA10" s="173"/>
      <c r="CB10" s="174" t="s">
        <v>145</v>
      </c>
      <c r="CC10" s="174"/>
      <c r="CD10" s="81"/>
      <c r="CE10" s="81"/>
      <c r="CF10" s="174"/>
      <c r="CG10" s="174"/>
      <c r="CH10" s="157"/>
      <c r="CI10" s="157"/>
      <c r="CJ10" s="157"/>
      <c r="CK10" s="157"/>
      <c r="CL10" s="59"/>
      <c r="CP10" s="59"/>
      <c r="CQ10" s="76"/>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row>
    <row r="11" spans="2:137" ht="26.25" customHeight="1" x14ac:dyDescent="0.4">
      <c r="B11" s="59"/>
      <c r="C11" s="61" t="s">
        <v>305</v>
      </c>
      <c r="D11" s="61"/>
      <c r="E11" s="61"/>
      <c r="F11" s="61"/>
      <c r="G11" s="61"/>
      <c r="H11" s="61"/>
      <c r="I11" s="61"/>
      <c r="J11" s="61"/>
      <c r="K11" s="61"/>
      <c r="L11" s="61"/>
      <c r="M11" s="168"/>
      <c r="N11" s="169"/>
      <c r="O11" s="169"/>
      <c r="P11" s="169"/>
      <c r="Q11" s="169"/>
      <c r="R11" s="169"/>
      <c r="S11" s="169"/>
      <c r="T11" s="169"/>
      <c r="U11" s="169"/>
      <c r="V11" s="169"/>
      <c r="W11" s="170"/>
      <c r="X11" s="59"/>
      <c r="Y11" s="59"/>
      <c r="Z11" s="59"/>
      <c r="AA11" s="59"/>
      <c r="AB11" s="59"/>
      <c r="AC11" s="59"/>
      <c r="AD11" s="59"/>
      <c r="AE11" s="59"/>
      <c r="AF11" s="59"/>
      <c r="AG11" s="59"/>
      <c r="AH11" s="59"/>
      <c r="AI11" s="59"/>
      <c r="AJ11" s="59"/>
      <c r="AK11" s="59"/>
      <c r="AL11" s="59"/>
      <c r="AM11" s="175"/>
      <c r="AN11" s="175"/>
      <c r="AO11" s="83"/>
      <c r="AP11" s="83"/>
      <c r="AQ11" s="83"/>
      <c r="AR11" s="75"/>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P11" s="59"/>
      <c r="CQ11" s="76"/>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row>
    <row r="12" spans="2:137" ht="26.25" customHeight="1" x14ac:dyDescent="0.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75"/>
      <c r="AV12" s="59"/>
      <c r="AW12" s="118" t="s">
        <v>394</v>
      </c>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P12" s="59"/>
      <c r="CQ12" s="76"/>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row>
    <row r="13" spans="2:137" ht="26.25" customHeight="1" x14ac:dyDescent="0.4">
      <c r="B13" s="59"/>
      <c r="C13" s="118" t="s">
        <v>180</v>
      </c>
      <c r="D13" s="76"/>
      <c r="E13" s="76"/>
      <c r="F13" s="76"/>
      <c r="G13" s="76"/>
      <c r="H13" s="76"/>
      <c r="I13" s="76"/>
      <c r="J13" s="76"/>
      <c r="K13" s="76"/>
      <c r="L13" s="7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165" t="s">
        <v>57</v>
      </c>
      <c r="AO13" s="165"/>
      <c r="AP13" s="165"/>
      <c r="AQ13" s="165"/>
      <c r="AR13" s="85"/>
      <c r="AV13" s="59"/>
      <c r="AW13" s="136" t="s">
        <v>395</v>
      </c>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59"/>
      <c r="CL13" s="59"/>
      <c r="CP13" s="59"/>
      <c r="CQ13" s="76"/>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row>
    <row r="14" spans="2:137" ht="26.25" customHeight="1" x14ac:dyDescent="0.4">
      <c r="B14" s="59"/>
      <c r="C14" s="76" t="s">
        <v>215</v>
      </c>
      <c r="D14" s="76"/>
      <c r="E14" s="76"/>
      <c r="F14" s="76"/>
      <c r="G14" s="76"/>
      <c r="H14" s="76"/>
      <c r="I14" s="76"/>
      <c r="J14" s="76"/>
      <c r="K14" s="76"/>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155"/>
      <c r="AO14" s="155"/>
      <c r="AP14" s="155"/>
      <c r="AQ14" s="155"/>
      <c r="AR14" s="85"/>
      <c r="AV14" s="59"/>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59"/>
      <c r="CL14" s="59"/>
      <c r="CP14" s="59"/>
      <c r="CQ14" s="76"/>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row>
    <row r="15" spans="2:137" ht="26.25" customHeight="1" x14ac:dyDescent="0.4">
      <c r="B15" s="59"/>
      <c r="C15" s="76" t="s">
        <v>153</v>
      </c>
      <c r="D15" s="76"/>
      <c r="E15" s="76"/>
      <c r="F15" s="76"/>
      <c r="G15" s="76"/>
      <c r="H15" s="76"/>
      <c r="I15" s="76"/>
      <c r="J15" s="76"/>
      <c r="K15" s="76"/>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155"/>
      <c r="AO15" s="155"/>
      <c r="AP15" s="155"/>
      <c r="AQ15" s="155"/>
      <c r="AR15" s="85"/>
      <c r="AV15" s="59"/>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59"/>
      <c r="CL15" s="59"/>
      <c r="CP15" s="59"/>
      <c r="CQ15" s="76"/>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row>
    <row r="16" spans="2:137" ht="26.25" customHeight="1" x14ac:dyDescent="0.4">
      <c r="B16" s="59"/>
      <c r="C16" s="76" t="s">
        <v>400</v>
      </c>
      <c r="D16" s="76"/>
      <c r="E16" s="76"/>
      <c r="F16" s="76"/>
      <c r="G16" s="76"/>
      <c r="H16" s="76"/>
      <c r="I16" s="76"/>
      <c r="J16" s="76"/>
      <c r="K16" s="76"/>
      <c r="L16" s="59"/>
      <c r="M16" s="59"/>
      <c r="N16" s="59"/>
      <c r="O16" s="59"/>
      <c r="P16" s="59"/>
      <c r="Q16" s="59"/>
      <c r="R16" s="70"/>
      <c r="S16" s="70"/>
      <c r="T16" s="70"/>
      <c r="U16" s="70"/>
      <c r="V16" s="70"/>
      <c r="W16" s="70"/>
      <c r="X16" s="70"/>
      <c r="Y16" s="70"/>
      <c r="Z16" s="70"/>
      <c r="AA16" s="70"/>
      <c r="AB16" s="70"/>
      <c r="AC16" s="70"/>
      <c r="AD16" s="59"/>
      <c r="AE16" s="70"/>
      <c r="AF16" s="70"/>
      <c r="AG16" s="70"/>
      <c r="AH16" s="70"/>
      <c r="AI16" s="70"/>
      <c r="AJ16" s="70"/>
      <c r="AK16" s="70"/>
      <c r="AL16" s="70"/>
      <c r="AM16" s="70"/>
      <c r="AN16" s="70"/>
      <c r="AO16" s="70"/>
      <c r="AP16" s="70"/>
      <c r="AQ16" s="84"/>
      <c r="AR16" s="85"/>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163" t="s">
        <v>56</v>
      </c>
      <c r="BY16" s="163"/>
      <c r="BZ16" s="163"/>
      <c r="CA16" s="163"/>
      <c r="CB16" s="164" t="s">
        <v>160</v>
      </c>
      <c r="CC16" s="164"/>
      <c r="CD16" s="164"/>
      <c r="CE16" s="164"/>
      <c r="CF16" s="59"/>
      <c r="CG16" s="59"/>
      <c r="CH16" s="59"/>
      <c r="CI16" s="59"/>
      <c r="CJ16" s="59"/>
      <c r="CK16" s="59"/>
      <c r="CL16" s="59"/>
      <c r="CP16" s="59"/>
      <c r="CQ16" s="76"/>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row>
    <row r="17" spans="2:137" ht="26.25" customHeight="1" x14ac:dyDescent="0.4">
      <c r="B17" s="59"/>
      <c r="C17" s="86" t="s">
        <v>411</v>
      </c>
      <c r="D17" s="87"/>
      <c r="E17" s="76"/>
      <c r="F17" s="76"/>
      <c r="G17" s="76"/>
      <c r="H17" s="76"/>
      <c r="I17" s="76"/>
      <c r="J17" s="76"/>
      <c r="K17" s="76"/>
      <c r="L17" s="59"/>
      <c r="M17" s="59"/>
      <c r="N17" s="59"/>
      <c r="O17" s="59"/>
      <c r="P17" s="59"/>
      <c r="Q17" s="59"/>
      <c r="R17" s="59"/>
      <c r="S17" s="59"/>
      <c r="T17" s="59"/>
      <c r="U17" s="59"/>
      <c r="V17" s="59"/>
      <c r="W17" s="59"/>
      <c r="X17" s="59"/>
      <c r="Y17" s="59"/>
      <c r="Z17" s="59"/>
      <c r="AA17" s="70"/>
      <c r="AB17" s="70"/>
      <c r="AC17" s="70"/>
      <c r="AD17" s="59"/>
      <c r="AE17" s="59"/>
      <c r="AF17" s="59"/>
      <c r="AG17" s="59"/>
      <c r="AH17" s="59"/>
      <c r="AI17" s="59"/>
      <c r="AJ17" s="70"/>
      <c r="AK17" s="70"/>
      <c r="AL17" s="70"/>
      <c r="AM17" s="70"/>
      <c r="AN17" s="156"/>
      <c r="AO17" s="157"/>
      <c r="AP17" s="157"/>
      <c r="AQ17" s="157"/>
      <c r="AR17" s="85"/>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163"/>
      <c r="BY17" s="163"/>
      <c r="BZ17" s="163"/>
      <c r="CA17" s="163"/>
      <c r="CB17" s="164"/>
      <c r="CC17" s="164"/>
      <c r="CD17" s="164"/>
      <c r="CE17" s="164"/>
      <c r="CF17" s="59"/>
      <c r="CG17" s="59"/>
      <c r="CH17" s="59"/>
      <c r="CI17" s="59"/>
      <c r="CJ17" s="59"/>
      <c r="CK17" s="59"/>
      <c r="CL17" s="59"/>
      <c r="CP17" s="59"/>
      <c r="CQ17" s="76"/>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row>
    <row r="18" spans="2:137" ht="26.25" customHeight="1" x14ac:dyDescent="0.4">
      <c r="B18" s="59"/>
      <c r="C18" s="86"/>
      <c r="D18" s="87" t="s">
        <v>410</v>
      </c>
      <c r="E18" s="76"/>
      <c r="F18" s="76"/>
      <c r="G18" s="76"/>
      <c r="H18" s="76"/>
      <c r="I18" s="76"/>
      <c r="J18" s="76"/>
      <c r="K18" s="76"/>
      <c r="L18" s="59"/>
      <c r="M18" s="59"/>
      <c r="N18" s="59"/>
      <c r="O18" s="59"/>
      <c r="P18" s="59"/>
      <c r="Q18" s="59"/>
      <c r="R18" s="59"/>
      <c r="S18" s="59"/>
      <c r="T18" s="59"/>
      <c r="U18" s="59"/>
      <c r="V18" s="59"/>
      <c r="W18" s="59"/>
      <c r="X18" s="59"/>
      <c r="Y18" s="59"/>
      <c r="Z18" s="59"/>
      <c r="AA18" s="70"/>
      <c r="AB18" s="70"/>
      <c r="AC18" s="70"/>
      <c r="AD18" s="59"/>
      <c r="AE18" s="59"/>
      <c r="AF18" s="59"/>
      <c r="AG18" s="59"/>
      <c r="AH18" s="59"/>
      <c r="AI18" s="59"/>
      <c r="AJ18" s="160">
        <f>Tiedot!C13</f>
        <v>100</v>
      </c>
      <c r="AK18" s="161"/>
      <c r="AL18" s="161"/>
      <c r="AM18" s="162"/>
      <c r="AN18" s="157"/>
      <c r="AO18" s="157"/>
      <c r="AP18" s="157"/>
      <c r="AQ18" s="157"/>
      <c r="AR18" s="85"/>
      <c r="AV18" s="59"/>
      <c r="AW18" s="76" t="s">
        <v>43</v>
      </c>
      <c r="AX18" s="80"/>
      <c r="AY18" s="80"/>
      <c r="AZ18" s="80"/>
      <c r="BA18" s="80"/>
      <c r="BB18" s="80"/>
      <c r="BC18" s="59"/>
      <c r="BD18" s="59"/>
      <c r="BE18" s="59"/>
      <c r="BF18" s="59"/>
      <c r="BG18" s="59"/>
      <c r="BH18" s="59"/>
      <c r="BI18" s="59"/>
      <c r="BJ18" s="59"/>
      <c r="BK18" s="59"/>
      <c r="BL18" s="59"/>
      <c r="BM18" s="59"/>
      <c r="BN18" s="59"/>
      <c r="BO18" s="59"/>
      <c r="BP18" s="59"/>
      <c r="BQ18" s="59"/>
      <c r="BR18" s="59"/>
      <c r="BS18" s="59"/>
      <c r="BT18" s="59"/>
      <c r="BU18" s="59"/>
      <c r="BV18" s="59"/>
      <c r="BW18" s="59"/>
      <c r="BX18" s="159"/>
      <c r="BY18" s="159"/>
      <c r="BZ18" s="159"/>
      <c r="CA18" s="159"/>
      <c r="CB18" s="158" t="str">
        <f ca="1">IFERROR(Tiedot!$C$41,"")</f>
        <v/>
      </c>
      <c r="CC18" s="158"/>
      <c r="CD18" s="158"/>
      <c r="CE18" s="158"/>
      <c r="CF18" s="82" t="s">
        <v>146</v>
      </c>
      <c r="CG18" s="59"/>
      <c r="CH18" s="157"/>
      <c r="CI18" s="157"/>
      <c r="CJ18" s="157"/>
      <c r="CK18" s="157"/>
      <c r="CL18" s="59"/>
      <c r="CP18" s="59"/>
      <c r="CQ18" s="76"/>
      <c r="CR18" s="76"/>
      <c r="CS18" s="76"/>
      <c r="CT18" s="76"/>
      <c r="CU18" s="76"/>
      <c r="CV18" s="76"/>
      <c r="CW18" s="76"/>
      <c r="CX18" s="76"/>
      <c r="CY18" s="76"/>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row>
    <row r="19" spans="2:137" ht="26.25" customHeight="1" x14ac:dyDescent="0.4">
      <c r="B19" s="59"/>
      <c r="C19" s="86" t="s">
        <v>415</v>
      </c>
      <c r="D19" s="87"/>
      <c r="E19" s="76"/>
      <c r="F19" s="76"/>
      <c r="G19" s="76"/>
      <c r="H19" s="76"/>
      <c r="I19" s="76"/>
      <c r="J19" s="76"/>
      <c r="K19" s="76"/>
      <c r="L19" s="59"/>
      <c r="M19" s="59"/>
      <c r="N19" s="59"/>
      <c r="O19" s="59"/>
      <c r="P19" s="59"/>
      <c r="Q19" s="59"/>
      <c r="R19" s="59"/>
      <c r="S19" s="59"/>
      <c r="T19" s="59"/>
      <c r="U19" s="59"/>
      <c r="V19" s="59"/>
      <c r="W19" s="59"/>
      <c r="X19" s="59"/>
      <c r="Y19" s="59"/>
      <c r="Z19" s="59"/>
      <c r="AA19" s="70"/>
      <c r="AB19" s="70"/>
      <c r="AC19" s="70"/>
      <c r="AD19" s="59"/>
      <c r="AE19" s="59"/>
      <c r="AF19" s="59"/>
      <c r="AG19" s="59"/>
      <c r="AH19" s="59"/>
      <c r="AI19" s="59"/>
      <c r="AJ19" s="152">
        <f>100-AJ18</f>
        <v>0</v>
      </c>
      <c r="AK19" s="153"/>
      <c r="AL19" s="153"/>
      <c r="AM19" s="154"/>
      <c r="AN19" s="156"/>
      <c r="AO19" s="157"/>
      <c r="AP19" s="157"/>
      <c r="AQ19" s="157"/>
      <c r="AR19" s="85"/>
      <c r="AV19" s="59"/>
      <c r="AW19" s="76" t="s">
        <v>48</v>
      </c>
      <c r="AX19" s="80"/>
      <c r="AY19" s="80"/>
      <c r="AZ19" s="80"/>
      <c r="BA19" s="80"/>
      <c r="BB19" s="80"/>
      <c r="BC19" s="59"/>
      <c r="BD19" s="59"/>
      <c r="BE19" s="59"/>
      <c r="BF19" s="59"/>
      <c r="BG19" s="59"/>
      <c r="BH19" s="59"/>
      <c r="BI19" s="59"/>
      <c r="BJ19" s="59"/>
      <c r="BK19" s="59"/>
      <c r="BL19" s="59"/>
      <c r="BM19" s="59"/>
      <c r="BN19" s="59"/>
      <c r="BO19" s="59"/>
      <c r="BP19" s="59"/>
      <c r="BQ19" s="59"/>
      <c r="BR19" s="59"/>
      <c r="BS19" s="59"/>
      <c r="BT19" s="59"/>
      <c r="BU19" s="59"/>
      <c r="BV19" s="59"/>
      <c r="BW19" s="59"/>
      <c r="BX19" s="159"/>
      <c r="BY19" s="159"/>
      <c r="BZ19" s="159"/>
      <c r="CA19" s="159"/>
      <c r="CB19" s="158" t="str">
        <f ca="1">IFERROR(Tiedot!$C$42,"")</f>
        <v/>
      </c>
      <c r="CC19" s="158"/>
      <c r="CD19" s="158"/>
      <c r="CE19" s="158"/>
      <c r="CF19" s="82" t="s">
        <v>145</v>
      </c>
      <c r="CG19" s="59"/>
      <c r="CH19" s="157"/>
      <c r="CI19" s="157"/>
      <c r="CJ19" s="157"/>
      <c r="CK19" s="157"/>
      <c r="CL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row>
    <row r="20" spans="2:137" ht="26.25" customHeight="1" x14ac:dyDescent="0.4">
      <c r="B20" s="59"/>
      <c r="C20" s="76" t="s">
        <v>399</v>
      </c>
      <c r="D20" s="76"/>
      <c r="E20" s="76"/>
      <c r="F20" s="76"/>
      <c r="G20" s="76"/>
      <c r="H20" s="76"/>
      <c r="I20" s="76"/>
      <c r="J20" s="76"/>
      <c r="K20" s="76"/>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85"/>
      <c r="AV20" s="59"/>
      <c r="AW20" s="76" t="s">
        <v>44</v>
      </c>
      <c r="AX20" s="80"/>
      <c r="AY20" s="80"/>
      <c r="AZ20" s="80"/>
      <c r="BA20" s="80"/>
      <c r="BB20" s="80"/>
      <c r="BC20" s="59"/>
      <c r="BD20" s="59"/>
      <c r="BE20" s="59"/>
      <c r="BF20" s="59"/>
      <c r="BG20" s="59"/>
      <c r="BH20" s="59"/>
      <c r="BI20" s="59"/>
      <c r="BJ20" s="59"/>
      <c r="BK20" s="59"/>
      <c r="BL20" s="59"/>
      <c r="BM20" s="59"/>
      <c r="BN20" s="59"/>
      <c r="BO20" s="59"/>
      <c r="BP20" s="59"/>
      <c r="BQ20" s="59"/>
      <c r="BR20" s="59"/>
      <c r="BS20" s="59"/>
      <c r="BT20" s="59"/>
      <c r="BU20" s="59"/>
      <c r="BV20" s="59"/>
      <c r="BW20" s="59"/>
      <c r="BX20" s="159"/>
      <c r="BY20" s="159"/>
      <c r="BZ20" s="159"/>
      <c r="CA20" s="159"/>
      <c r="CB20" s="158" t="str">
        <f>IF(Tiedot!$C$43=0,"",Tiedot!$C$43)</f>
        <v/>
      </c>
      <c r="CC20" s="158"/>
      <c r="CD20" s="158"/>
      <c r="CE20" s="158"/>
      <c r="CF20" s="82" t="s">
        <v>145</v>
      </c>
      <c r="CG20" s="59"/>
      <c r="CH20" s="157"/>
      <c r="CI20" s="157"/>
      <c r="CJ20" s="157"/>
      <c r="CK20" s="157"/>
      <c r="CL20" s="59"/>
      <c r="CP20" s="59"/>
      <c r="CQ20" s="118" t="s">
        <v>81</v>
      </c>
      <c r="CR20" s="78"/>
      <c r="CS20" s="78"/>
      <c r="CT20" s="78"/>
      <c r="CU20" s="78"/>
      <c r="CV20" s="76"/>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row>
    <row r="21" spans="2:137" ht="26.25" customHeight="1" x14ac:dyDescent="0.5">
      <c r="B21" s="59"/>
      <c r="C21" s="86" t="s">
        <v>411</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156"/>
      <c r="AO21" s="157"/>
      <c r="AP21" s="157"/>
      <c r="AQ21" s="157"/>
      <c r="AR21" s="85"/>
      <c r="AV21" s="59"/>
      <c r="AW21" s="76" t="s">
        <v>45</v>
      </c>
      <c r="AX21" s="80"/>
      <c r="AY21" s="80"/>
      <c r="AZ21" s="80"/>
      <c r="BA21" s="80"/>
      <c r="BB21" s="80"/>
      <c r="BC21" s="59"/>
      <c r="BD21" s="59"/>
      <c r="BE21" s="59"/>
      <c r="BF21" s="59"/>
      <c r="BG21" s="59"/>
      <c r="BH21" s="59"/>
      <c r="BI21" s="59"/>
      <c r="BJ21" s="59"/>
      <c r="BK21" s="59"/>
      <c r="BL21" s="59"/>
      <c r="BM21" s="59"/>
      <c r="BN21" s="59"/>
      <c r="BO21" s="59"/>
      <c r="BP21" s="59"/>
      <c r="BQ21" s="59"/>
      <c r="BR21" s="59"/>
      <c r="BS21" s="59"/>
      <c r="BT21" s="59"/>
      <c r="BU21" s="59"/>
      <c r="BV21" s="59"/>
      <c r="BW21" s="59"/>
      <c r="BX21" s="159"/>
      <c r="BY21" s="159"/>
      <c r="BZ21" s="159"/>
      <c r="CA21" s="159"/>
      <c r="CB21" s="158" t="str">
        <f ca="1">IFERROR(Tiedot!$C$44,"")</f>
        <v/>
      </c>
      <c r="CC21" s="158"/>
      <c r="CD21" s="158"/>
      <c r="CE21" s="158"/>
      <c r="CF21" s="82" t="s">
        <v>145</v>
      </c>
      <c r="CG21" s="59"/>
      <c r="CH21" s="157"/>
      <c r="CI21" s="157"/>
      <c r="CJ21" s="157"/>
      <c r="CK21" s="157"/>
      <c r="CL21" s="59"/>
      <c r="CP21" s="59"/>
      <c r="CQ21" s="58"/>
      <c r="CR21" s="88"/>
      <c r="CS21" s="76"/>
      <c r="CT21" s="76"/>
      <c r="CU21" s="76"/>
      <c r="CV21" s="60"/>
      <c r="CW21" s="60"/>
      <c r="CX21" s="60"/>
      <c r="CY21" s="60"/>
      <c r="CZ21" s="60"/>
      <c r="DA21" s="60"/>
      <c r="DB21" s="60"/>
      <c r="DC21" s="60"/>
      <c r="DD21" s="60"/>
      <c r="DE21" s="60"/>
      <c r="DF21" s="60"/>
      <c r="DG21" s="60"/>
      <c r="DH21" s="60"/>
      <c r="DI21" s="60"/>
      <c r="DJ21" s="166" t="s">
        <v>57</v>
      </c>
      <c r="DK21" s="166"/>
      <c r="DL21" s="166"/>
      <c r="DM21" s="167"/>
      <c r="DN21" s="146" t="s">
        <v>380</v>
      </c>
      <c r="DO21" s="147"/>
      <c r="DP21" s="147"/>
      <c r="DQ21" s="147"/>
      <c r="DR21" s="147"/>
      <c r="DS21" s="148"/>
      <c r="DT21" s="146" t="s">
        <v>136</v>
      </c>
      <c r="DU21" s="147"/>
      <c r="DV21" s="147"/>
      <c r="DW21" s="147"/>
      <c r="DX21" s="147"/>
      <c r="DY21" s="148"/>
      <c r="DZ21" s="89"/>
      <c r="EA21" s="59"/>
      <c r="EB21" s="59"/>
      <c r="EC21" s="59"/>
      <c r="ED21" s="59"/>
      <c r="EE21" s="59"/>
      <c r="EF21" s="59"/>
      <c r="EG21" s="59"/>
    </row>
    <row r="22" spans="2:137" ht="26.25" customHeight="1" x14ac:dyDescent="0.5">
      <c r="B22" s="59"/>
      <c r="C22" s="86"/>
      <c r="D22" s="87" t="s">
        <v>410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160">
        <f>Tiedot!C17</f>
        <v>100</v>
      </c>
      <c r="AK22" s="161"/>
      <c r="AL22" s="161"/>
      <c r="AM22" s="162"/>
      <c r="AN22" s="157"/>
      <c r="AO22" s="157"/>
      <c r="AP22" s="157"/>
      <c r="AQ22" s="157"/>
      <c r="AR22" s="85"/>
      <c r="AV22" s="59"/>
      <c r="AW22" s="76" t="s">
        <v>46</v>
      </c>
      <c r="AX22" s="80"/>
      <c r="AY22" s="80"/>
      <c r="AZ22" s="80"/>
      <c r="BA22" s="80"/>
      <c r="BB22" s="80"/>
      <c r="BC22" s="59"/>
      <c r="BD22" s="59"/>
      <c r="BE22" s="59"/>
      <c r="BF22" s="59"/>
      <c r="BG22" s="59"/>
      <c r="BH22" s="59"/>
      <c r="BI22" s="59"/>
      <c r="BJ22" s="59"/>
      <c r="BK22" s="59"/>
      <c r="BL22" s="59"/>
      <c r="BM22" s="59"/>
      <c r="BN22" s="59"/>
      <c r="BO22" s="59"/>
      <c r="BP22" s="59"/>
      <c r="BQ22" s="59"/>
      <c r="BR22" s="59"/>
      <c r="BS22" s="59"/>
      <c r="BT22" s="59"/>
      <c r="BU22" s="59"/>
      <c r="BV22" s="59"/>
      <c r="BW22" s="59"/>
      <c r="BX22" s="159"/>
      <c r="BY22" s="159"/>
      <c r="BZ22" s="159"/>
      <c r="CA22" s="159"/>
      <c r="CB22" s="158" t="str">
        <f ca="1">IFERROR(Tiedot!$C$45,"")</f>
        <v/>
      </c>
      <c r="CC22" s="158"/>
      <c r="CD22" s="158"/>
      <c r="CE22" s="158"/>
      <c r="CF22" s="82" t="s">
        <v>145</v>
      </c>
      <c r="CG22" s="59"/>
      <c r="CH22" s="157"/>
      <c r="CI22" s="157"/>
      <c r="CJ22" s="157"/>
      <c r="CK22" s="157"/>
      <c r="CL22" s="59"/>
      <c r="CP22" s="59"/>
      <c r="CQ22" s="76"/>
      <c r="CR22" s="90" t="s">
        <v>6</v>
      </c>
      <c r="CS22" s="91"/>
      <c r="CT22" s="91"/>
      <c r="CU22" s="91"/>
      <c r="CV22" s="92"/>
      <c r="CW22" s="92"/>
      <c r="CX22" s="92"/>
      <c r="CY22" s="92"/>
      <c r="CZ22" s="92"/>
      <c r="DA22" s="92"/>
      <c r="DB22" s="92"/>
      <c r="DC22" s="92"/>
      <c r="DD22" s="92"/>
      <c r="DE22" s="92"/>
      <c r="DF22" s="92"/>
      <c r="DG22" s="92"/>
      <c r="DH22" s="92"/>
      <c r="DI22" s="92"/>
      <c r="DJ22" s="149"/>
      <c r="DK22" s="149"/>
      <c r="DL22" s="149"/>
      <c r="DM22" s="150"/>
      <c r="DN22" s="142">
        <f ca="1">IFERROR(Tiedot!B88,0)</f>
        <v>0</v>
      </c>
      <c r="DO22" s="143"/>
      <c r="DP22" s="143"/>
      <c r="DQ22" s="143"/>
      <c r="DR22" s="143"/>
      <c r="DS22" s="93"/>
      <c r="DT22" s="140" t="str">
        <f ca="1">IFERROR(DN22/$DN$35,"")</f>
        <v/>
      </c>
      <c r="DU22" s="141"/>
      <c r="DV22" s="141"/>
      <c r="DW22" s="141"/>
      <c r="DX22" s="141"/>
      <c r="DY22" s="93"/>
      <c r="DZ22" s="94"/>
      <c r="EA22" s="59"/>
      <c r="EB22" s="59"/>
      <c r="EC22" s="59"/>
      <c r="ED22" s="59"/>
      <c r="EE22" s="59"/>
      <c r="EF22" s="59"/>
      <c r="EG22" s="59"/>
    </row>
    <row r="23" spans="2:137" ht="26.25" customHeight="1" x14ac:dyDescent="0.5">
      <c r="B23" s="59"/>
      <c r="C23" s="86" t="s">
        <v>415</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152">
        <f>100-AJ22</f>
        <v>0</v>
      </c>
      <c r="AK23" s="153"/>
      <c r="AL23" s="153"/>
      <c r="AM23" s="154"/>
      <c r="AN23" s="156"/>
      <c r="AO23" s="157"/>
      <c r="AP23" s="157"/>
      <c r="AQ23" s="157"/>
      <c r="AR23" s="85"/>
      <c r="AV23" s="59"/>
      <c r="AW23" s="76" t="s">
        <v>47</v>
      </c>
      <c r="AX23" s="80"/>
      <c r="AY23" s="80"/>
      <c r="AZ23" s="80"/>
      <c r="BA23" s="80"/>
      <c r="BB23" s="80"/>
      <c r="BC23" s="59"/>
      <c r="BD23" s="59"/>
      <c r="BE23" s="59"/>
      <c r="BF23" s="59"/>
      <c r="BG23" s="59"/>
      <c r="BH23" s="59"/>
      <c r="BI23" s="59"/>
      <c r="BJ23" s="59"/>
      <c r="BK23" s="59"/>
      <c r="BL23" s="59"/>
      <c r="BM23" s="59"/>
      <c r="BN23" s="59"/>
      <c r="BO23" s="59"/>
      <c r="BP23" s="59"/>
      <c r="BQ23" s="59"/>
      <c r="BR23" s="59"/>
      <c r="BS23" s="59"/>
      <c r="BT23" s="59"/>
      <c r="BU23" s="59"/>
      <c r="BV23" s="59"/>
      <c r="BW23" s="59"/>
      <c r="BX23" s="159"/>
      <c r="BY23" s="159"/>
      <c r="BZ23" s="159"/>
      <c r="CA23" s="159"/>
      <c r="CB23" s="158" t="str">
        <f>IF(Tiedot!$C$51=0,"",Tiedot!$C$51)</f>
        <v/>
      </c>
      <c r="CC23" s="158"/>
      <c r="CD23" s="158"/>
      <c r="CE23" s="158"/>
      <c r="CF23" s="82" t="s">
        <v>145</v>
      </c>
      <c r="CG23" s="59"/>
      <c r="CH23" s="157"/>
      <c r="CI23" s="157"/>
      <c r="CJ23" s="157"/>
      <c r="CK23" s="157"/>
      <c r="CL23" s="59"/>
      <c r="CP23" s="59"/>
      <c r="CQ23" s="76"/>
      <c r="CR23" s="95" t="s">
        <v>70</v>
      </c>
      <c r="CS23" s="96"/>
      <c r="CT23" s="96"/>
      <c r="CU23" s="96"/>
      <c r="CV23" s="97"/>
      <c r="CW23" s="97"/>
      <c r="CX23" s="97"/>
      <c r="CY23" s="97"/>
      <c r="CZ23" s="97"/>
      <c r="DA23" s="97"/>
      <c r="DB23" s="97"/>
      <c r="DC23" s="97"/>
      <c r="DD23" s="97"/>
      <c r="DE23" s="97"/>
      <c r="DF23" s="97"/>
      <c r="DG23" s="97"/>
      <c r="DH23" s="97"/>
      <c r="DI23" s="97"/>
      <c r="DJ23" s="149"/>
      <c r="DK23" s="149"/>
      <c r="DL23" s="149"/>
      <c r="DM23" s="150"/>
      <c r="DN23" s="142">
        <f ca="1">IFERROR(Tiedot!B89,0)</f>
        <v>0</v>
      </c>
      <c r="DO23" s="143"/>
      <c r="DP23" s="143"/>
      <c r="DQ23" s="143"/>
      <c r="DR23" s="143"/>
      <c r="DS23" s="93"/>
      <c r="DT23" s="140" t="str">
        <f t="shared" ref="DT23:DT34" ca="1" si="0">IFERROR(DN23/$DN$35,"")</f>
        <v/>
      </c>
      <c r="DU23" s="141"/>
      <c r="DV23" s="141"/>
      <c r="DW23" s="141"/>
      <c r="DX23" s="141"/>
      <c r="DY23" s="93"/>
      <c r="DZ23" s="94"/>
      <c r="EA23" s="59"/>
      <c r="EB23" s="59"/>
      <c r="EC23" s="59"/>
      <c r="ED23" s="59"/>
      <c r="EE23" s="59"/>
      <c r="EF23" s="59"/>
      <c r="EG23" s="59"/>
    </row>
    <row r="24" spans="2:137" ht="26.25" customHeight="1" x14ac:dyDescent="0.5">
      <c r="B24" s="59"/>
      <c r="C24" s="76" t="s">
        <v>216</v>
      </c>
      <c r="D24" s="76"/>
      <c r="E24" s="76"/>
      <c r="F24" s="76"/>
      <c r="G24" s="76"/>
      <c r="H24" s="76"/>
      <c r="I24" s="76"/>
      <c r="J24" s="76"/>
      <c r="K24" s="76"/>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155"/>
      <c r="AO24" s="155"/>
      <c r="AP24" s="155"/>
      <c r="AQ24" s="155"/>
      <c r="AR24" s="85"/>
      <c r="AV24" s="59"/>
      <c r="AW24" s="76" t="s">
        <v>49</v>
      </c>
      <c r="AX24" s="80"/>
      <c r="AY24" s="80"/>
      <c r="AZ24" s="80"/>
      <c r="BA24" s="80"/>
      <c r="BB24" s="80"/>
      <c r="BC24" s="59"/>
      <c r="BD24" s="59"/>
      <c r="BE24" s="59"/>
      <c r="BF24" s="59"/>
      <c r="BG24" s="59"/>
      <c r="BH24" s="59"/>
      <c r="BI24" s="59"/>
      <c r="BJ24" s="59"/>
      <c r="BK24" s="59"/>
      <c r="BL24" s="59"/>
      <c r="BM24" s="59"/>
      <c r="BN24" s="59"/>
      <c r="BO24" s="59"/>
      <c r="BP24" s="59"/>
      <c r="BQ24" s="59"/>
      <c r="BR24" s="59"/>
      <c r="BS24" s="59"/>
      <c r="BT24" s="59"/>
      <c r="BU24" s="59"/>
      <c r="BV24" s="59"/>
      <c r="BW24" s="59"/>
      <c r="BX24" s="159"/>
      <c r="BY24" s="159"/>
      <c r="BZ24" s="159"/>
      <c r="CA24" s="159"/>
      <c r="CB24" s="158" t="str">
        <f ca="1">IFERROR(Tiedot!$C$55,"")</f>
        <v/>
      </c>
      <c r="CC24" s="158"/>
      <c r="CD24" s="158"/>
      <c r="CE24" s="158"/>
      <c r="CF24" s="82" t="s">
        <v>145</v>
      </c>
      <c r="CG24" s="59"/>
      <c r="CH24" s="157"/>
      <c r="CI24" s="157"/>
      <c r="CJ24" s="157"/>
      <c r="CK24" s="157"/>
      <c r="CL24" s="75"/>
      <c r="CP24" s="59"/>
      <c r="CQ24" s="76"/>
      <c r="CR24" s="95" t="s">
        <v>82</v>
      </c>
      <c r="CS24" s="96"/>
      <c r="CT24" s="96"/>
      <c r="CU24" s="96"/>
      <c r="CV24" s="97"/>
      <c r="CW24" s="97"/>
      <c r="CX24" s="97"/>
      <c r="CY24" s="97"/>
      <c r="CZ24" s="97"/>
      <c r="DA24" s="97"/>
      <c r="DB24" s="97"/>
      <c r="DC24" s="97"/>
      <c r="DD24" s="97"/>
      <c r="DE24" s="97"/>
      <c r="DF24" s="97"/>
      <c r="DG24" s="97"/>
      <c r="DH24" s="97"/>
      <c r="DI24" s="97"/>
      <c r="DJ24" s="149"/>
      <c r="DK24" s="149"/>
      <c r="DL24" s="149"/>
      <c r="DM24" s="150"/>
      <c r="DN24" s="142">
        <f ca="1">IFERROR(Tiedot!B90,0)</f>
        <v>0</v>
      </c>
      <c r="DO24" s="143"/>
      <c r="DP24" s="143"/>
      <c r="DQ24" s="143"/>
      <c r="DR24" s="143"/>
      <c r="DS24" s="93"/>
      <c r="DT24" s="140" t="str">
        <f t="shared" ca="1" si="0"/>
        <v/>
      </c>
      <c r="DU24" s="141"/>
      <c r="DV24" s="141"/>
      <c r="DW24" s="141"/>
      <c r="DX24" s="141"/>
      <c r="DY24" s="93"/>
      <c r="DZ24" s="94"/>
      <c r="EA24" s="59"/>
      <c r="EB24" s="59"/>
      <c r="EC24" s="59"/>
      <c r="ED24" s="59"/>
      <c r="EE24" s="59"/>
      <c r="EF24" s="59"/>
      <c r="EG24" s="59"/>
    </row>
    <row r="25" spans="2:137" ht="26.25" customHeight="1" x14ac:dyDescent="0.5">
      <c r="B25" s="59"/>
      <c r="C25" s="76" t="s">
        <v>217</v>
      </c>
      <c r="D25" s="76"/>
      <c r="E25" s="76"/>
      <c r="F25" s="76"/>
      <c r="G25" s="76"/>
      <c r="H25" s="76"/>
      <c r="I25" s="76"/>
      <c r="J25" s="76"/>
      <c r="K25" s="76"/>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155"/>
      <c r="AO25" s="155"/>
      <c r="AP25" s="155"/>
      <c r="AQ25" s="155"/>
      <c r="AR25" s="59"/>
      <c r="AV25" s="59"/>
      <c r="AW25" s="76" t="s">
        <v>50</v>
      </c>
      <c r="AX25" s="80"/>
      <c r="AY25" s="80"/>
      <c r="AZ25" s="80"/>
      <c r="BA25" s="80"/>
      <c r="BB25" s="80"/>
      <c r="BC25" s="59"/>
      <c r="BD25" s="59"/>
      <c r="BE25" s="59"/>
      <c r="BF25" s="59"/>
      <c r="BG25" s="59"/>
      <c r="BH25" s="59"/>
      <c r="BI25" s="59"/>
      <c r="BJ25" s="59"/>
      <c r="BK25" s="59"/>
      <c r="BL25" s="59"/>
      <c r="BM25" s="59"/>
      <c r="BN25" s="59"/>
      <c r="BO25" s="59"/>
      <c r="BP25" s="59"/>
      <c r="BQ25" s="59"/>
      <c r="BR25" s="59"/>
      <c r="BS25" s="59"/>
      <c r="BT25" s="59"/>
      <c r="BU25" s="59"/>
      <c r="BV25" s="59"/>
      <c r="BW25" s="59"/>
      <c r="BX25" s="159"/>
      <c r="BY25" s="159"/>
      <c r="BZ25" s="159"/>
      <c r="CA25" s="159"/>
      <c r="CB25" s="158" t="str">
        <f ca="1">IFERROR(Tiedot!$C$57,"")</f>
        <v/>
      </c>
      <c r="CC25" s="158"/>
      <c r="CD25" s="158"/>
      <c r="CE25" s="158"/>
      <c r="CF25" s="82" t="s">
        <v>31</v>
      </c>
      <c r="CG25" s="59"/>
      <c r="CH25" s="157"/>
      <c r="CI25" s="157"/>
      <c r="CJ25" s="157"/>
      <c r="CK25" s="157"/>
      <c r="CL25" s="75"/>
      <c r="CP25" s="59"/>
      <c r="CQ25" s="76"/>
      <c r="CR25" s="95" t="s">
        <v>77</v>
      </c>
      <c r="CS25" s="96"/>
      <c r="CT25" s="96"/>
      <c r="CU25" s="96"/>
      <c r="CV25" s="97"/>
      <c r="CW25" s="97"/>
      <c r="CX25" s="97"/>
      <c r="CY25" s="97"/>
      <c r="CZ25" s="97"/>
      <c r="DA25" s="97"/>
      <c r="DB25" s="97"/>
      <c r="DC25" s="97"/>
      <c r="DD25" s="97"/>
      <c r="DE25" s="97"/>
      <c r="DF25" s="97"/>
      <c r="DG25" s="97"/>
      <c r="DH25" s="97"/>
      <c r="DI25" s="97"/>
      <c r="DJ25" s="149"/>
      <c r="DK25" s="149"/>
      <c r="DL25" s="149"/>
      <c r="DM25" s="150"/>
      <c r="DN25" s="142">
        <f>IFERROR(Tiedot!B91,0)</f>
        <v>0</v>
      </c>
      <c r="DO25" s="143"/>
      <c r="DP25" s="143"/>
      <c r="DQ25" s="143"/>
      <c r="DR25" s="143"/>
      <c r="DS25" s="93"/>
      <c r="DT25" s="140" t="str">
        <f t="shared" ca="1" si="0"/>
        <v/>
      </c>
      <c r="DU25" s="141"/>
      <c r="DV25" s="141"/>
      <c r="DW25" s="141"/>
      <c r="DX25" s="141"/>
      <c r="DY25" s="98"/>
      <c r="DZ25" s="94"/>
      <c r="EA25" s="59"/>
      <c r="EB25" s="59"/>
      <c r="EC25" s="59"/>
      <c r="ED25" s="59"/>
      <c r="EE25" s="59"/>
      <c r="EF25" s="59"/>
      <c r="EG25" s="59"/>
    </row>
    <row r="26" spans="2:137" ht="26.25" customHeight="1" x14ac:dyDescent="0.5">
      <c r="B26" s="59"/>
      <c r="C26" s="76" t="s">
        <v>154</v>
      </c>
      <c r="D26" s="76"/>
      <c r="E26" s="76"/>
      <c r="F26" s="76"/>
      <c r="G26" s="76"/>
      <c r="H26" s="76"/>
      <c r="I26" s="76"/>
      <c r="J26" s="76"/>
      <c r="K26" s="76"/>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157"/>
      <c r="AO26" s="157"/>
      <c r="AP26" s="157"/>
      <c r="AQ26" s="157"/>
      <c r="AR26" s="75"/>
      <c r="AV26" s="59"/>
      <c r="AW26" s="76" t="s">
        <v>51</v>
      </c>
      <c r="AX26" s="80"/>
      <c r="AY26" s="80"/>
      <c r="AZ26" s="80"/>
      <c r="BA26" s="80"/>
      <c r="BB26" s="80"/>
      <c r="BC26" s="59"/>
      <c r="BD26" s="59"/>
      <c r="BE26" s="59"/>
      <c r="BF26" s="59"/>
      <c r="BG26" s="59"/>
      <c r="BH26" s="59"/>
      <c r="BI26" s="59"/>
      <c r="BJ26" s="59"/>
      <c r="BK26" s="59"/>
      <c r="BL26" s="59"/>
      <c r="BM26" s="59"/>
      <c r="BN26" s="59"/>
      <c r="BO26" s="59"/>
      <c r="BP26" s="59"/>
      <c r="BQ26" s="59"/>
      <c r="BR26" s="59"/>
      <c r="BS26" s="59"/>
      <c r="BT26" s="59"/>
      <c r="BU26" s="59"/>
      <c r="BV26" s="59"/>
      <c r="BW26" s="59"/>
      <c r="BX26" s="159"/>
      <c r="BY26" s="159"/>
      <c r="BZ26" s="159"/>
      <c r="CA26" s="159"/>
      <c r="CB26" s="158" t="str">
        <f>IF(Tiedot!$C$58=0,"",Tiedot!$C$58)</f>
        <v/>
      </c>
      <c r="CC26" s="158"/>
      <c r="CD26" s="158"/>
      <c r="CE26" s="158"/>
      <c r="CF26" s="82" t="s">
        <v>31</v>
      </c>
      <c r="CG26" s="59"/>
      <c r="CH26" s="157"/>
      <c r="CI26" s="157"/>
      <c r="CJ26" s="157"/>
      <c r="CK26" s="157"/>
      <c r="CL26" s="75"/>
      <c r="CP26" s="59"/>
      <c r="CQ26" s="76"/>
      <c r="CR26" s="95" t="s">
        <v>83</v>
      </c>
      <c r="CS26" s="96"/>
      <c r="CT26" s="96"/>
      <c r="CU26" s="96"/>
      <c r="CV26" s="97"/>
      <c r="CW26" s="97"/>
      <c r="CX26" s="97"/>
      <c r="CY26" s="97"/>
      <c r="CZ26" s="97"/>
      <c r="DA26" s="97"/>
      <c r="DB26" s="97"/>
      <c r="DC26" s="97"/>
      <c r="DD26" s="97"/>
      <c r="DE26" s="97"/>
      <c r="DF26" s="97"/>
      <c r="DG26" s="97"/>
      <c r="DH26" s="97"/>
      <c r="DI26" s="97"/>
      <c r="DJ26" s="149"/>
      <c r="DK26" s="149"/>
      <c r="DL26" s="149"/>
      <c r="DM26" s="150"/>
      <c r="DN26" s="142">
        <f>IFERROR(Tiedot!B92,0)</f>
        <v>0</v>
      </c>
      <c r="DO26" s="143"/>
      <c r="DP26" s="143"/>
      <c r="DQ26" s="143"/>
      <c r="DR26" s="143"/>
      <c r="DS26" s="93"/>
      <c r="DT26" s="140" t="str">
        <f t="shared" ca="1" si="0"/>
        <v/>
      </c>
      <c r="DU26" s="141"/>
      <c r="DV26" s="141"/>
      <c r="DW26" s="141"/>
      <c r="DX26" s="141"/>
      <c r="DY26" s="93"/>
      <c r="DZ26" s="94"/>
      <c r="EA26" s="59"/>
      <c r="EB26" s="59"/>
      <c r="EC26" s="59"/>
      <c r="ED26" s="59"/>
      <c r="EE26" s="59"/>
      <c r="EF26" s="59"/>
      <c r="EG26" s="59"/>
    </row>
    <row r="27" spans="2:137" ht="26.25" customHeight="1" x14ac:dyDescent="0.5">
      <c r="B27" s="59"/>
      <c r="C27" s="76" t="s">
        <v>212</v>
      </c>
      <c r="D27" s="76"/>
      <c r="E27" s="76"/>
      <c r="F27" s="76"/>
      <c r="G27" s="76"/>
      <c r="H27" s="76"/>
      <c r="I27" s="76"/>
      <c r="J27" s="76"/>
      <c r="K27" s="76"/>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151">
        <f>Tiedot!C22</f>
        <v>0</v>
      </c>
      <c r="AK27" s="151"/>
      <c r="AL27" s="151"/>
      <c r="AM27" s="151"/>
      <c r="AN27" s="157"/>
      <c r="AO27" s="157"/>
      <c r="AP27" s="157"/>
      <c r="AQ27" s="157"/>
      <c r="AR27" s="75"/>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75"/>
      <c r="CP27" s="59"/>
      <c r="CQ27" s="76"/>
      <c r="CR27" s="95" t="s">
        <v>84</v>
      </c>
      <c r="CS27" s="96"/>
      <c r="CT27" s="96"/>
      <c r="CU27" s="96"/>
      <c r="CV27" s="97"/>
      <c r="CW27" s="97"/>
      <c r="CX27" s="97"/>
      <c r="CY27" s="97"/>
      <c r="CZ27" s="97"/>
      <c r="DA27" s="97"/>
      <c r="DB27" s="97"/>
      <c r="DC27" s="97"/>
      <c r="DD27" s="97"/>
      <c r="DE27" s="97"/>
      <c r="DF27" s="97"/>
      <c r="DG27" s="97"/>
      <c r="DH27" s="97"/>
      <c r="DI27" s="97"/>
      <c r="DJ27" s="149"/>
      <c r="DK27" s="149"/>
      <c r="DL27" s="149"/>
      <c r="DM27" s="150"/>
      <c r="DN27" s="142">
        <f ca="1">IFERROR(Tiedot!B93,0)</f>
        <v>0</v>
      </c>
      <c r="DO27" s="143"/>
      <c r="DP27" s="143"/>
      <c r="DQ27" s="143"/>
      <c r="DR27" s="143"/>
      <c r="DS27" s="93"/>
      <c r="DT27" s="140" t="str">
        <f t="shared" ca="1" si="0"/>
        <v/>
      </c>
      <c r="DU27" s="141"/>
      <c r="DV27" s="141"/>
      <c r="DW27" s="141"/>
      <c r="DX27" s="141"/>
      <c r="DY27" s="93"/>
      <c r="DZ27" s="94"/>
      <c r="EA27" s="59"/>
      <c r="EB27" s="59"/>
      <c r="EC27" s="59"/>
      <c r="ED27" s="59"/>
      <c r="EE27" s="59"/>
      <c r="EF27" s="59"/>
      <c r="EG27" s="59"/>
    </row>
    <row r="28" spans="2:137" ht="26.25" customHeight="1" x14ac:dyDescent="0.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75"/>
      <c r="CP28" s="59"/>
      <c r="CQ28" s="76"/>
      <c r="CR28" s="95" t="s">
        <v>85</v>
      </c>
      <c r="CS28" s="96"/>
      <c r="CT28" s="96"/>
      <c r="CU28" s="96"/>
      <c r="CV28" s="97"/>
      <c r="CW28" s="97"/>
      <c r="CX28" s="97"/>
      <c r="CY28" s="97"/>
      <c r="CZ28" s="97"/>
      <c r="DA28" s="97"/>
      <c r="DB28" s="97"/>
      <c r="DC28" s="97"/>
      <c r="DD28" s="97"/>
      <c r="DE28" s="97"/>
      <c r="DF28" s="97"/>
      <c r="DG28" s="97"/>
      <c r="DH28" s="97"/>
      <c r="DI28" s="97"/>
      <c r="DJ28" s="149"/>
      <c r="DK28" s="149"/>
      <c r="DL28" s="149"/>
      <c r="DM28" s="150"/>
      <c r="DN28" s="142">
        <f ca="1">IFERROR(Tiedot!B94,0)</f>
        <v>0</v>
      </c>
      <c r="DO28" s="143"/>
      <c r="DP28" s="143"/>
      <c r="DQ28" s="143"/>
      <c r="DR28" s="143"/>
      <c r="DS28" s="93"/>
      <c r="DT28" s="140" t="str">
        <f t="shared" ca="1" si="0"/>
        <v/>
      </c>
      <c r="DU28" s="141"/>
      <c r="DV28" s="141"/>
      <c r="DW28" s="141"/>
      <c r="DX28" s="141"/>
      <c r="DY28" s="93"/>
      <c r="DZ28" s="94"/>
      <c r="EA28" s="59"/>
      <c r="EB28" s="59"/>
      <c r="EC28" s="59"/>
      <c r="ED28" s="59"/>
      <c r="EE28" s="59"/>
      <c r="EF28" s="59"/>
      <c r="EG28" s="59"/>
    </row>
    <row r="29" spans="2:137" ht="26.25" customHeight="1" x14ac:dyDescent="0.5">
      <c r="B29" s="59"/>
      <c r="C29" s="118" t="s">
        <v>417</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75"/>
      <c r="CP29" s="59"/>
      <c r="CQ29" s="76"/>
      <c r="CR29" s="95" t="s">
        <v>78</v>
      </c>
      <c r="CS29" s="96"/>
      <c r="CT29" s="96"/>
      <c r="CU29" s="96"/>
      <c r="CV29" s="97"/>
      <c r="CW29" s="97"/>
      <c r="CX29" s="97"/>
      <c r="CY29" s="97"/>
      <c r="CZ29" s="97"/>
      <c r="DA29" s="97"/>
      <c r="DB29" s="97"/>
      <c r="DC29" s="97"/>
      <c r="DD29" s="97"/>
      <c r="DE29" s="97"/>
      <c r="DF29" s="97"/>
      <c r="DG29" s="97"/>
      <c r="DH29" s="97"/>
      <c r="DI29" s="97"/>
      <c r="DJ29" s="149"/>
      <c r="DK29" s="149"/>
      <c r="DL29" s="149"/>
      <c r="DM29" s="150"/>
      <c r="DN29" s="142">
        <f ca="1">IFERROR(Tiedot!B95,0)</f>
        <v>0</v>
      </c>
      <c r="DO29" s="143"/>
      <c r="DP29" s="143"/>
      <c r="DQ29" s="143"/>
      <c r="DR29" s="143"/>
      <c r="DS29" s="93"/>
      <c r="DT29" s="140" t="str">
        <f t="shared" ca="1" si="0"/>
        <v/>
      </c>
      <c r="DU29" s="141"/>
      <c r="DV29" s="141"/>
      <c r="DW29" s="141"/>
      <c r="DX29" s="141"/>
      <c r="DY29" s="93"/>
      <c r="DZ29" s="94"/>
      <c r="EA29" s="59"/>
      <c r="EB29" s="59"/>
      <c r="EC29" s="59"/>
      <c r="ED29" s="59"/>
      <c r="EE29" s="59"/>
      <c r="EF29" s="59"/>
      <c r="EG29" s="59"/>
    </row>
    <row r="30" spans="2:137" ht="26.25" customHeight="1" x14ac:dyDescent="0.5">
      <c r="B30" s="59"/>
      <c r="C30" s="76"/>
      <c r="D30" s="76" t="s">
        <v>294</v>
      </c>
      <c r="E30" s="76"/>
      <c r="F30" s="76"/>
      <c r="G30" s="76"/>
      <c r="H30" s="76"/>
      <c r="I30" s="76"/>
      <c r="J30" s="76"/>
      <c r="K30" s="76"/>
      <c r="L30" s="76"/>
      <c r="M30" s="76"/>
      <c r="N30" s="76"/>
      <c r="O30" s="76"/>
      <c r="P30" s="126"/>
      <c r="Q30" s="127"/>
      <c r="R30" s="76"/>
      <c r="S30" s="76"/>
      <c r="T30" s="76"/>
      <c r="U30" s="76"/>
      <c r="V30" s="76"/>
      <c r="W30" s="76"/>
      <c r="X30" s="76"/>
      <c r="Y30" s="76" t="s">
        <v>311</v>
      </c>
      <c r="Z30" s="76"/>
      <c r="AA30" s="76"/>
      <c r="AB30" s="76"/>
      <c r="AC30" s="76"/>
      <c r="AD30" s="76"/>
      <c r="AE30" s="76"/>
      <c r="AF30" s="76"/>
      <c r="AG30" s="126"/>
      <c r="AH30" s="127"/>
      <c r="AI30" s="126"/>
      <c r="AJ30" s="127"/>
      <c r="AK30" s="126"/>
      <c r="AL30" s="76"/>
      <c r="AM30" s="76"/>
      <c r="AN30" s="155"/>
      <c r="AO30" s="155"/>
      <c r="AP30" s="155"/>
      <c r="AQ30" s="155"/>
      <c r="AR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75"/>
      <c r="CP30" s="59"/>
      <c r="CQ30" s="76"/>
      <c r="CR30" s="95" t="s">
        <v>72</v>
      </c>
      <c r="CS30" s="96"/>
      <c r="CT30" s="96"/>
      <c r="CU30" s="96"/>
      <c r="CV30" s="97"/>
      <c r="CW30" s="97"/>
      <c r="CX30" s="97"/>
      <c r="CY30" s="97"/>
      <c r="CZ30" s="97"/>
      <c r="DA30" s="97"/>
      <c r="DB30" s="97"/>
      <c r="DC30" s="97"/>
      <c r="DD30" s="97"/>
      <c r="DE30" s="97"/>
      <c r="DF30" s="97"/>
      <c r="DG30" s="97"/>
      <c r="DH30" s="97"/>
      <c r="DI30" s="97"/>
      <c r="DJ30" s="149"/>
      <c r="DK30" s="149"/>
      <c r="DL30" s="149"/>
      <c r="DM30" s="150"/>
      <c r="DN30" s="142">
        <f ca="1">IFERROR(Tiedot!B96,0)</f>
        <v>0</v>
      </c>
      <c r="DO30" s="143"/>
      <c r="DP30" s="143"/>
      <c r="DQ30" s="143"/>
      <c r="DR30" s="143"/>
      <c r="DS30" s="93"/>
      <c r="DT30" s="140" t="str">
        <f t="shared" ca="1" si="0"/>
        <v/>
      </c>
      <c r="DU30" s="141"/>
      <c r="DV30" s="141"/>
      <c r="DW30" s="141"/>
      <c r="DX30" s="141"/>
      <c r="DY30" s="93"/>
      <c r="DZ30" s="94"/>
      <c r="EA30" s="59"/>
      <c r="EB30" s="59"/>
      <c r="EC30" s="59"/>
      <c r="ED30" s="59"/>
      <c r="EE30" s="59"/>
      <c r="EF30" s="59"/>
      <c r="EG30" s="59"/>
    </row>
    <row r="31" spans="2:137" ht="26.25" customHeight="1" x14ac:dyDescent="0.5">
      <c r="B31" s="59"/>
      <c r="C31" s="76"/>
      <c r="D31" s="76" t="s">
        <v>302</v>
      </c>
      <c r="E31" s="76"/>
      <c r="F31" s="76"/>
      <c r="G31" s="76"/>
      <c r="H31" s="76"/>
      <c r="I31" s="76"/>
      <c r="J31" s="76"/>
      <c r="K31" s="76"/>
      <c r="L31" s="76"/>
      <c r="M31" s="76"/>
      <c r="N31" s="76"/>
      <c r="O31" s="76"/>
      <c r="P31" s="126"/>
      <c r="Q31" s="127"/>
      <c r="R31" s="76"/>
      <c r="S31" s="76"/>
      <c r="T31" s="76"/>
      <c r="U31" s="76"/>
      <c r="V31" s="76"/>
      <c r="W31" s="76"/>
      <c r="X31" s="76"/>
      <c r="Y31" s="76" t="s">
        <v>292</v>
      </c>
      <c r="Z31" s="76"/>
      <c r="AA31" s="76"/>
      <c r="AB31" s="76"/>
      <c r="AC31" s="76"/>
      <c r="AD31" s="76"/>
      <c r="AE31" s="76"/>
      <c r="AF31" s="76"/>
      <c r="AG31" s="126"/>
      <c r="AH31" s="127"/>
      <c r="AI31" s="126"/>
      <c r="AJ31" s="127"/>
      <c r="AK31" s="126"/>
      <c r="AL31" s="76"/>
      <c r="AM31" s="76"/>
      <c r="AN31" s="59"/>
      <c r="AO31" s="59"/>
      <c r="AP31" s="59"/>
      <c r="AQ31" s="59"/>
      <c r="AR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75"/>
      <c r="CP31" s="59"/>
      <c r="CQ31" s="76"/>
      <c r="CR31" s="95" t="s">
        <v>139</v>
      </c>
      <c r="CS31" s="96"/>
      <c r="CT31" s="96"/>
      <c r="CU31" s="96"/>
      <c r="CV31" s="97"/>
      <c r="CW31" s="97"/>
      <c r="CX31" s="97"/>
      <c r="CY31" s="97"/>
      <c r="CZ31" s="97"/>
      <c r="DA31" s="97"/>
      <c r="DB31" s="97"/>
      <c r="DC31" s="97"/>
      <c r="DD31" s="97"/>
      <c r="DE31" s="97"/>
      <c r="DF31" s="97"/>
      <c r="DG31" s="97"/>
      <c r="DH31" s="97"/>
      <c r="DI31" s="97"/>
      <c r="DJ31" s="149"/>
      <c r="DK31" s="149"/>
      <c r="DL31" s="149"/>
      <c r="DM31" s="150"/>
      <c r="DN31" s="142">
        <f ca="1">IFERROR(Tiedot!B97,0)</f>
        <v>0</v>
      </c>
      <c r="DO31" s="143"/>
      <c r="DP31" s="143"/>
      <c r="DQ31" s="143"/>
      <c r="DR31" s="143"/>
      <c r="DS31" s="93"/>
      <c r="DT31" s="140" t="str">
        <f t="shared" ca="1" si="0"/>
        <v/>
      </c>
      <c r="DU31" s="141"/>
      <c r="DV31" s="141"/>
      <c r="DW31" s="141"/>
      <c r="DX31" s="141"/>
      <c r="DY31" s="93"/>
      <c r="DZ31" s="94"/>
      <c r="EA31" s="59"/>
      <c r="EB31" s="59"/>
      <c r="EC31" s="59"/>
      <c r="ED31" s="59"/>
      <c r="EE31" s="59"/>
      <c r="EF31" s="59"/>
      <c r="EG31" s="59"/>
    </row>
    <row r="32" spans="2:137" ht="26.25" customHeight="1" x14ac:dyDescent="0.5">
      <c r="B32" s="59"/>
      <c r="C32" s="76"/>
      <c r="D32" s="76" t="s">
        <v>295</v>
      </c>
      <c r="E32" s="76"/>
      <c r="F32" s="76"/>
      <c r="G32" s="76"/>
      <c r="H32" s="76"/>
      <c r="I32" s="76"/>
      <c r="J32" s="76"/>
      <c r="K32" s="76"/>
      <c r="L32" s="76"/>
      <c r="M32" s="76"/>
      <c r="N32" s="76"/>
      <c r="O32" s="76"/>
      <c r="P32" s="126"/>
      <c r="Q32" s="127"/>
      <c r="R32" s="76"/>
      <c r="S32" s="76"/>
      <c r="T32" s="76"/>
      <c r="U32" s="76"/>
      <c r="V32" s="76"/>
      <c r="W32" s="76"/>
      <c r="X32" s="76"/>
      <c r="Y32" s="76" t="s">
        <v>291</v>
      </c>
      <c r="Z32" s="76"/>
      <c r="AA32" s="76"/>
      <c r="AB32" s="76"/>
      <c r="AC32" s="76"/>
      <c r="AD32" s="76"/>
      <c r="AE32" s="76"/>
      <c r="AF32" s="76"/>
      <c r="AG32" s="126"/>
      <c r="AH32" s="127"/>
      <c r="AI32" s="126"/>
      <c r="AJ32" s="127"/>
      <c r="AK32" s="126"/>
      <c r="AL32" s="76"/>
      <c r="AM32" s="76"/>
      <c r="AN32" s="59"/>
      <c r="AO32" s="59"/>
      <c r="AP32" s="59"/>
      <c r="AQ32" s="59"/>
      <c r="AR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75"/>
      <c r="CP32" s="59"/>
      <c r="CQ32" s="76"/>
      <c r="CR32" s="95" t="s">
        <v>79</v>
      </c>
      <c r="CS32" s="96"/>
      <c r="CT32" s="96"/>
      <c r="CU32" s="96"/>
      <c r="CV32" s="97"/>
      <c r="CW32" s="97"/>
      <c r="CX32" s="97"/>
      <c r="CY32" s="97"/>
      <c r="CZ32" s="97"/>
      <c r="DA32" s="97"/>
      <c r="DB32" s="97"/>
      <c r="DC32" s="97"/>
      <c r="DD32" s="97"/>
      <c r="DE32" s="97"/>
      <c r="DF32" s="97"/>
      <c r="DG32" s="97"/>
      <c r="DH32" s="97"/>
      <c r="DI32" s="97"/>
      <c r="DJ32" s="149"/>
      <c r="DK32" s="149"/>
      <c r="DL32" s="149"/>
      <c r="DM32" s="150"/>
      <c r="DN32" s="142">
        <f ca="1">IFERROR(Tiedot!B98,0)</f>
        <v>0</v>
      </c>
      <c r="DO32" s="143"/>
      <c r="DP32" s="143"/>
      <c r="DQ32" s="143"/>
      <c r="DR32" s="143"/>
      <c r="DS32" s="93"/>
      <c r="DT32" s="140" t="str">
        <f t="shared" ca="1" si="0"/>
        <v/>
      </c>
      <c r="DU32" s="141"/>
      <c r="DV32" s="141"/>
      <c r="DW32" s="141"/>
      <c r="DX32" s="141"/>
      <c r="DY32" s="93"/>
      <c r="DZ32" s="94"/>
      <c r="EA32" s="59"/>
      <c r="EB32" s="59"/>
      <c r="EC32" s="59"/>
      <c r="ED32" s="59"/>
      <c r="EE32" s="59"/>
      <c r="EF32" s="59"/>
      <c r="EG32" s="59"/>
    </row>
    <row r="33" spans="2:137" ht="26.25" customHeight="1" x14ac:dyDescent="0.5">
      <c r="B33" s="59"/>
      <c r="C33" s="76"/>
      <c r="D33" s="76" t="s">
        <v>289</v>
      </c>
      <c r="E33" s="76"/>
      <c r="F33" s="76"/>
      <c r="G33" s="76"/>
      <c r="H33" s="76"/>
      <c r="I33" s="76"/>
      <c r="J33" s="76"/>
      <c r="K33" s="76"/>
      <c r="L33" s="76"/>
      <c r="M33" s="76"/>
      <c r="N33" s="76"/>
      <c r="O33" s="76"/>
      <c r="P33" s="126"/>
      <c r="Q33" s="127"/>
      <c r="R33" s="76"/>
      <c r="S33" s="76"/>
      <c r="T33" s="76"/>
      <c r="U33" s="76"/>
      <c r="V33" s="76"/>
      <c r="W33" s="76"/>
      <c r="X33" s="76"/>
      <c r="Y33" s="76" t="s">
        <v>293</v>
      </c>
      <c r="Z33" s="76"/>
      <c r="AA33" s="76"/>
      <c r="AB33" s="76"/>
      <c r="AC33" s="76"/>
      <c r="AD33" s="76"/>
      <c r="AE33" s="76"/>
      <c r="AF33" s="76"/>
      <c r="AG33" s="126"/>
      <c r="AH33" s="127"/>
      <c r="AI33" s="126"/>
      <c r="AJ33" s="127"/>
      <c r="AK33" s="126"/>
      <c r="AL33" s="76"/>
      <c r="AM33" s="76"/>
      <c r="AN33" s="59"/>
      <c r="AO33" s="59"/>
      <c r="AP33" s="59"/>
      <c r="AQ33" s="59"/>
      <c r="AR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75"/>
      <c r="CP33" s="59"/>
      <c r="CQ33" s="76"/>
      <c r="CR33" s="95" t="s">
        <v>86</v>
      </c>
      <c r="CS33" s="96"/>
      <c r="CT33" s="96"/>
      <c r="CU33" s="96"/>
      <c r="CV33" s="97"/>
      <c r="CW33" s="97"/>
      <c r="CX33" s="97"/>
      <c r="CY33" s="97"/>
      <c r="CZ33" s="97"/>
      <c r="DA33" s="97"/>
      <c r="DB33" s="97"/>
      <c r="DC33" s="97"/>
      <c r="DD33" s="97"/>
      <c r="DE33" s="97"/>
      <c r="DF33" s="97"/>
      <c r="DG33" s="97"/>
      <c r="DH33" s="97"/>
      <c r="DI33" s="97"/>
      <c r="DJ33" s="149"/>
      <c r="DK33" s="149"/>
      <c r="DL33" s="149"/>
      <c r="DM33" s="150"/>
      <c r="DN33" s="142">
        <f>IFERROR(Tiedot!B99,0)</f>
        <v>0</v>
      </c>
      <c r="DO33" s="143"/>
      <c r="DP33" s="143"/>
      <c r="DQ33" s="143"/>
      <c r="DR33" s="143"/>
      <c r="DS33" s="93"/>
      <c r="DT33" s="140" t="str">
        <f t="shared" ca="1" si="0"/>
        <v/>
      </c>
      <c r="DU33" s="141"/>
      <c r="DV33" s="141"/>
      <c r="DW33" s="141"/>
      <c r="DX33" s="141"/>
      <c r="DY33" s="93"/>
      <c r="DZ33" s="94"/>
      <c r="EA33" s="59"/>
      <c r="EB33" s="59"/>
      <c r="EC33" s="59"/>
      <c r="ED33" s="59"/>
      <c r="EE33" s="59"/>
      <c r="EF33" s="59"/>
      <c r="EG33" s="59"/>
    </row>
    <row r="34" spans="2:137" ht="26.25" customHeight="1" thickBot="1" x14ac:dyDescent="0.55000000000000004">
      <c r="B34" s="59"/>
      <c r="C34" s="76"/>
      <c r="D34" s="76" t="s">
        <v>290</v>
      </c>
      <c r="E34" s="76"/>
      <c r="F34" s="76"/>
      <c r="G34" s="76"/>
      <c r="H34" s="76"/>
      <c r="I34" s="76"/>
      <c r="J34" s="76"/>
      <c r="K34" s="76"/>
      <c r="L34" s="76"/>
      <c r="M34" s="76"/>
      <c r="N34" s="76"/>
      <c r="O34" s="76"/>
      <c r="P34" s="126"/>
      <c r="Q34" s="127"/>
      <c r="R34" s="76"/>
      <c r="S34" s="76"/>
      <c r="T34" s="76"/>
      <c r="U34" s="76"/>
      <c r="V34" s="76"/>
      <c r="W34" s="76"/>
      <c r="X34" s="76"/>
      <c r="Y34" s="76" t="s">
        <v>312</v>
      </c>
      <c r="Z34" s="76"/>
      <c r="AA34" s="76"/>
      <c r="AB34" s="76"/>
      <c r="AC34" s="76"/>
      <c r="AD34" s="76"/>
      <c r="AE34" s="76"/>
      <c r="AF34" s="76"/>
      <c r="AG34" s="126"/>
      <c r="AH34" s="127"/>
      <c r="AI34" s="126"/>
      <c r="AJ34" s="127"/>
      <c r="AK34" s="126"/>
      <c r="AL34" s="76"/>
      <c r="AM34" s="76"/>
      <c r="AN34" s="59"/>
      <c r="AO34" s="59"/>
      <c r="AP34" s="59"/>
      <c r="AQ34" s="59"/>
      <c r="AR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P34" s="59"/>
      <c r="CQ34" s="76"/>
      <c r="CR34" s="99" t="s">
        <v>87</v>
      </c>
      <c r="CS34" s="100"/>
      <c r="CT34" s="100"/>
      <c r="CU34" s="100"/>
      <c r="CV34" s="101"/>
      <c r="CW34" s="101"/>
      <c r="CX34" s="101"/>
      <c r="CY34" s="101"/>
      <c r="CZ34" s="101"/>
      <c r="DA34" s="101"/>
      <c r="DB34" s="101"/>
      <c r="DC34" s="101"/>
      <c r="DD34" s="101"/>
      <c r="DE34" s="101"/>
      <c r="DF34" s="101"/>
      <c r="DG34" s="101"/>
      <c r="DH34" s="101"/>
      <c r="DI34" s="101"/>
      <c r="DJ34" s="149"/>
      <c r="DK34" s="149"/>
      <c r="DL34" s="149"/>
      <c r="DM34" s="150"/>
      <c r="DN34" s="142">
        <f ca="1">IFERROR(Tiedot!B100,0)</f>
        <v>0</v>
      </c>
      <c r="DO34" s="143"/>
      <c r="DP34" s="143"/>
      <c r="DQ34" s="143"/>
      <c r="DR34" s="143"/>
      <c r="DS34" s="102"/>
      <c r="DT34" s="140" t="str">
        <f t="shared" ca="1" si="0"/>
        <v/>
      </c>
      <c r="DU34" s="141"/>
      <c r="DV34" s="141"/>
      <c r="DW34" s="141"/>
      <c r="DX34" s="141"/>
      <c r="DY34" s="102"/>
      <c r="DZ34" s="94"/>
      <c r="EA34" s="59"/>
      <c r="EB34" s="59"/>
      <c r="EC34" s="59"/>
      <c r="ED34" s="59"/>
      <c r="EE34" s="59"/>
      <c r="EF34" s="59"/>
      <c r="EG34" s="59"/>
    </row>
    <row r="35" spans="2:137" ht="26.25" customHeight="1" thickBot="1" x14ac:dyDescent="0.55000000000000004">
      <c r="B35" s="59"/>
      <c r="C35" s="103" t="s">
        <v>52</v>
      </c>
      <c r="D35" s="76"/>
      <c r="E35" s="76"/>
      <c r="F35" s="76"/>
      <c r="G35" s="76"/>
      <c r="H35" s="76"/>
      <c r="I35" s="76"/>
      <c r="J35" s="76"/>
      <c r="K35" s="76"/>
      <c r="L35" s="76"/>
      <c r="M35" s="59"/>
      <c r="N35" s="59"/>
      <c r="O35" s="59"/>
      <c r="P35" s="59"/>
      <c r="Q35" s="59"/>
      <c r="R35" s="59"/>
      <c r="S35" s="76"/>
      <c r="T35" s="76"/>
      <c r="U35" s="76"/>
      <c r="V35" s="76"/>
      <c r="W35" s="76"/>
      <c r="X35" s="76"/>
      <c r="Y35" s="76"/>
      <c r="Z35" s="76"/>
      <c r="AA35" s="76"/>
      <c r="AB35" s="76"/>
      <c r="AC35" s="76"/>
      <c r="AD35" s="76"/>
      <c r="AE35" s="76"/>
      <c r="AF35" s="76"/>
      <c r="AG35" s="76"/>
      <c r="AH35" s="59"/>
      <c r="AI35" s="59"/>
      <c r="AJ35" s="59"/>
      <c r="AK35" s="59"/>
      <c r="AL35" s="59"/>
      <c r="AM35" s="59"/>
      <c r="AN35" s="59"/>
      <c r="AO35" s="59"/>
      <c r="AP35" s="59"/>
      <c r="AQ35" s="59"/>
      <c r="AR35" s="75"/>
      <c r="AV35" s="59"/>
      <c r="AW35" s="103" t="s">
        <v>52</v>
      </c>
      <c r="AX35" s="76"/>
      <c r="AY35" s="76"/>
      <c r="AZ35" s="76"/>
      <c r="BA35" s="76"/>
      <c r="BB35" s="76"/>
      <c r="BC35" s="76"/>
      <c r="BD35" s="76"/>
      <c r="BE35" s="76"/>
      <c r="BF35" s="76"/>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75"/>
      <c r="CP35" s="59"/>
      <c r="CQ35" s="76"/>
      <c r="CR35" s="128" t="s">
        <v>32</v>
      </c>
      <c r="CS35" s="129"/>
      <c r="CT35" s="129"/>
      <c r="CU35" s="129"/>
      <c r="CV35" s="130"/>
      <c r="CW35" s="130"/>
      <c r="CX35" s="130"/>
      <c r="CY35" s="130"/>
      <c r="CZ35" s="130"/>
      <c r="DA35" s="130"/>
      <c r="DB35" s="130"/>
      <c r="DC35" s="130"/>
      <c r="DD35" s="130"/>
      <c r="DE35" s="130"/>
      <c r="DF35" s="130"/>
      <c r="DG35" s="130"/>
      <c r="DH35" s="130"/>
      <c r="DI35" s="130"/>
      <c r="DJ35" s="130"/>
      <c r="DK35" s="130"/>
      <c r="DL35" s="130"/>
      <c r="DM35" s="130"/>
      <c r="DN35" s="144">
        <f ca="1">SUM(DN22:DR34)</f>
        <v>0</v>
      </c>
      <c r="DO35" s="145"/>
      <c r="DP35" s="145"/>
      <c r="DQ35" s="145"/>
      <c r="DR35" s="145"/>
      <c r="DS35" s="104"/>
      <c r="DT35" s="138" t="str">
        <f t="shared" ref="DT35" ca="1" si="1">IFERROR(DN35/$DN$35,"")</f>
        <v/>
      </c>
      <c r="DU35" s="139"/>
      <c r="DV35" s="139"/>
      <c r="DW35" s="139"/>
      <c r="DX35" s="139"/>
      <c r="DY35" s="104"/>
      <c r="DZ35" s="105"/>
      <c r="EA35" s="59"/>
      <c r="EB35" s="59"/>
      <c r="EC35" s="59"/>
      <c r="ED35" s="59"/>
      <c r="EE35" s="59"/>
      <c r="EF35" s="59"/>
      <c r="EG35" s="59"/>
    </row>
    <row r="36" spans="2:137" ht="26.25" customHeight="1" x14ac:dyDescent="0.4">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P36" s="59"/>
      <c r="CQ36" s="76"/>
      <c r="CR36" s="76"/>
      <c r="CS36" s="76"/>
      <c r="CT36" s="76"/>
      <c r="CU36" s="76"/>
      <c r="CV36" s="76"/>
      <c r="CW36" s="76"/>
      <c r="CX36" s="76"/>
      <c r="CY36" s="76"/>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row>
    <row r="37" spans="2:137" ht="26.25" customHeight="1" x14ac:dyDescent="0.3">
      <c r="AR37" s="73"/>
    </row>
    <row r="38" spans="2:137" ht="26.25" customHeight="1" x14ac:dyDescent="0.3">
      <c r="AR38" s="73"/>
    </row>
    <row r="39" spans="2:137" ht="26.25" customHeight="1" x14ac:dyDescent="0.3">
      <c r="AR39" s="73"/>
    </row>
    <row r="40" spans="2:137" ht="26.25" customHeight="1" x14ac:dyDescent="0.3">
      <c r="AR40" s="73"/>
    </row>
    <row r="41" spans="2:137" ht="26.25" customHeight="1" x14ac:dyDescent="0.3">
      <c r="AR41" s="73"/>
    </row>
  </sheetData>
  <sheetProtection algorithmName="SHA-512" hashValue="GDrM8hW/dV4s/wu7SFr/s4VgB87ouvCt91K0OtJ/6ltJrfsuXAblxonHCAOdLq+HTc52L6cYXyO91t6lZr9PTA==" saltValue="dgf16DapAjTyxrx9D96I6A==" spinCount="100000" sheet="1" objects="1" scenarios="1" selectLockedCells="1"/>
  <mergeCells count="114">
    <mergeCell ref="M11:W11"/>
    <mergeCell ref="M8:W8"/>
    <mergeCell ref="M9:W9"/>
    <mergeCell ref="M10:W10"/>
    <mergeCell ref="AF8:AQ8"/>
    <mergeCell ref="AF9:AQ9"/>
    <mergeCell ref="AF10:AQ10"/>
    <mergeCell ref="DU4:EF6"/>
    <mergeCell ref="CQ4:DR6"/>
    <mergeCell ref="BX10:CA10"/>
    <mergeCell ref="CF10:CG10"/>
    <mergeCell ref="CH10:CK10"/>
    <mergeCell ref="CH8:CK8"/>
    <mergeCell ref="CB7:CE8"/>
    <mergeCell ref="CF9:CG9"/>
    <mergeCell ref="CH9:CK9"/>
    <mergeCell ref="CB9:CC9"/>
    <mergeCell ref="CB10:CC10"/>
    <mergeCell ref="BX7:CA8"/>
    <mergeCell ref="BX9:CA9"/>
    <mergeCell ref="AM11:AN11"/>
    <mergeCell ref="BX16:CA17"/>
    <mergeCell ref="CB16:CE17"/>
    <mergeCell ref="AN14:AQ14"/>
    <mergeCell ref="AN13:AQ13"/>
    <mergeCell ref="AN27:AQ27"/>
    <mergeCell ref="DJ21:DM21"/>
    <mergeCell ref="DJ22:DM22"/>
    <mergeCell ref="CH24:CK24"/>
    <mergeCell ref="CH25:CK25"/>
    <mergeCell ref="CH19:CK19"/>
    <mergeCell ref="CH18:CK18"/>
    <mergeCell ref="CH20:CK20"/>
    <mergeCell ref="CH21:CK21"/>
    <mergeCell ref="AN22:AQ22"/>
    <mergeCell ref="AN18:AQ18"/>
    <mergeCell ref="AN23:AQ23"/>
    <mergeCell ref="AW13:CJ15"/>
    <mergeCell ref="AN15:AQ15"/>
    <mergeCell ref="AN17:AQ17"/>
    <mergeCell ref="AN19:AQ19"/>
    <mergeCell ref="AN24:AQ24"/>
    <mergeCell ref="AN25:AQ25"/>
    <mergeCell ref="AJ18:AM18"/>
    <mergeCell ref="BX26:CA26"/>
    <mergeCell ref="BX24:CA24"/>
    <mergeCell ref="BX25:CA25"/>
    <mergeCell ref="BX18:CA18"/>
    <mergeCell ref="BX19:CA19"/>
    <mergeCell ref="BX20:CA20"/>
    <mergeCell ref="BX21:CA21"/>
    <mergeCell ref="CH22:CK22"/>
    <mergeCell ref="CB18:CE18"/>
    <mergeCell ref="CB20:CE20"/>
    <mergeCell ref="CB21:CE21"/>
    <mergeCell ref="CB22:CE22"/>
    <mergeCell ref="CB23:CE23"/>
    <mergeCell ref="CH23:CK23"/>
    <mergeCell ref="CH26:CK26"/>
    <mergeCell ref="CB24:CE24"/>
    <mergeCell ref="CB25:CE25"/>
    <mergeCell ref="AJ27:AM27"/>
    <mergeCell ref="AJ23:AM23"/>
    <mergeCell ref="AJ19:AM19"/>
    <mergeCell ref="DN31:DR31"/>
    <mergeCell ref="DN32:DR32"/>
    <mergeCell ref="DN33:DR33"/>
    <mergeCell ref="DN34:DR34"/>
    <mergeCell ref="DT33:DX33"/>
    <mergeCell ref="DT34:DX34"/>
    <mergeCell ref="DT29:DX29"/>
    <mergeCell ref="DT23:DX23"/>
    <mergeCell ref="DT24:DX24"/>
    <mergeCell ref="DT25:DX25"/>
    <mergeCell ref="DT26:DX26"/>
    <mergeCell ref="DT28:DX28"/>
    <mergeCell ref="AN30:AQ30"/>
    <mergeCell ref="AN21:AQ21"/>
    <mergeCell ref="AN26:AQ26"/>
    <mergeCell ref="DT21:DY21"/>
    <mergeCell ref="CB26:CE26"/>
    <mergeCell ref="BX22:CA22"/>
    <mergeCell ref="BX23:CA23"/>
    <mergeCell ref="AJ22:AM22"/>
    <mergeCell ref="CB19:CE19"/>
    <mergeCell ref="DN21:DS21"/>
    <mergeCell ref="DJ34:DM34"/>
    <mergeCell ref="DJ28:DM28"/>
    <mergeCell ref="DJ29:DM29"/>
    <mergeCell ref="DJ30:DM30"/>
    <mergeCell ref="DJ31:DM31"/>
    <mergeCell ref="DJ32:DM32"/>
    <mergeCell ref="DJ23:DM23"/>
    <mergeCell ref="DJ24:DM24"/>
    <mergeCell ref="DJ25:DM25"/>
    <mergeCell ref="DJ26:DM26"/>
    <mergeCell ref="DJ27:DM27"/>
    <mergeCell ref="DJ33:DM33"/>
    <mergeCell ref="DT35:DX35"/>
    <mergeCell ref="DT32:DX32"/>
    <mergeCell ref="DT31:DX31"/>
    <mergeCell ref="DT30:DX30"/>
    <mergeCell ref="DN25:DR25"/>
    <mergeCell ref="DN24:DR24"/>
    <mergeCell ref="DN23:DR23"/>
    <mergeCell ref="DN22:DR22"/>
    <mergeCell ref="DN26:DR26"/>
    <mergeCell ref="DN27:DR27"/>
    <mergeCell ref="DN28:DR28"/>
    <mergeCell ref="DN29:DR29"/>
    <mergeCell ref="DN30:DR30"/>
    <mergeCell ref="DT27:DX27"/>
    <mergeCell ref="DT22:DX22"/>
    <mergeCell ref="DN35:DR35"/>
  </mergeCells>
  <phoneticPr fontId="8" type="noConversion"/>
  <printOptions horizontalCentered="1" vertic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Drop Down 11">
              <controlPr defaultSize="0" autoLine="0" autoPict="0">
                <anchor moveWithCells="1">
                  <from>
                    <xdr:col>24</xdr:col>
                    <xdr:colOff>76200</xdr:colOff>
                    <xdr:row>16</xdr:row>
                    <xdr:rowOff>0</xdr:rowOff>
                  </from>
                  <to>
                    <xdr:col>38</xdr:col>
                    <xdr:colOff>152400</xdr:colOff>
                    <xdr:row>16</xdr:row>
                    <xdr:rowOff>289560</xdr:rowOff>
                  </to>
                </anchor>
              </controlPr>
            </control>
          </mc:Choice>
        </mc:AlternateContent>
        <mc:AlternateContent xmlns:mc="http://schemas.openxmlformats.org/markup-compatibility/2006">
          <mc:Choice Requires="x14">
            <control shapeId="2066" r:id="rId5" name="Drop Down 18">
              <controlPr defaultSize="0" autoLine="0" autoPict="0">
                <anchor moveWithCells="1">
                  <from>
                    <xdr:col>24</xdr:col>
                    <xdr:colOff>76200</xdr:colOff>
                    <xdr:row>14</xdr:row>
                    <xdr:rowOff>60960</xdr:rowOff>
                  </from>
                  <to>
                    <xdr:col>38</xdr:col>
                    <xdr:colOff>152400</xdr:colOff>
                    <xdr:row>15</xdr:row>
                    <xdr:rowOff>7620</xdr:rowOff>
                  </to>
                </anchor>
              </controlPr>
            </control>
          </mc:Choice>
        </mc:AlternateContent>
        <mc:AlternateContent xmlns:mc="http://schemas.openxmlformats.org/markup-compatibility/2006">
          <mc:Choice Requires="x14">
            <control shapeId="2110" r:id="rId6" name="Drop Down 62">
              <controlPr defaultSize="0" autoLine="0" autoPict="0">
                <anchor moveWithCells="1">
                  <from>
                    <xdr:col>24</xdr:col>
                    <xdr:colOff>76200</xdr:colOff>
                    <xdr:row>13</xdr:row>
                    <xdr:rowOff>22860</xdr:rowOff>
                  </from>
                  <to>
                    <xdr:col>38</xdr:col>
                    <xdr:colOff>152400</xdr:colOff>
                    <xdr:row>13</xdr:row>
                    <xdr:rowOff>304800</xdr:rowOff>
                  </to>
                </anchor>
              </controlPr>
            </control>
          </mc:Choice>
        </mc:AlternateContent>
        <mc:AlternateContent xmlns:mc="http://schemas.openxmlformats.org/markup-compatibility/2006">
          <mc:Choice Requires="x14">
            <control shapeId="2112" r:id="rId7" name="Drop Down 64">
              <controlPr defaultSize="0" autoLine="0" autoPict="0">
                <anchor moveWithCells="1">
                  <from>
                    <xdr:col>24</xdr:col>
                    <xdr:colOff>76200</xdr:colOff>
                    <xdr:row>22</xdr:row>
                    <xdr:rowOff>30480</xdr:rowOff>
                  </from>
                  <to>
                    <xdr:col>35</xdr:col>
                    <xdr:colOff>7620</xdr:colOff>
                    <xdr:row>22</xdr:row>
                    <xdr:rowOff>312420</xdr:rowOff>
                  </to>
                </anchor>
              </controlPr>
            </control>
          </mc:Choice>
        </mc:AlternateContent>
        <mc:AlternateContent xmlns:mc="http://schemas.openxmlformats.org/markup-compatibility/2006">
          <mc:Choice Requires="x14">
            <control shapeId="2140" r:id="rId8" name="Drop Down 92">
              <controlPr defaultSize="0" autoLine="0" autoPict="0">
                <anchor moveWithCells="1">
                  <from>
                    <xdr:col>24</xdr:col>
                    <xdr:colOff>76200</xdr:colOff>
                    <xdr:row>18</xdr:row>
                    <xdr:rowOff>30480</xdr:rowOff>
                  </from>
                  <to>
                    <xdr:col>35</xdr:col>
                    <xdr:colOff>7620</xdr:colOff>
                    <xdr:row>18</xdr:row>
                    <xdr:rowOff>312420</xdr:rowOff>
                  </to>
                </anchor>
              </controlPr>
            </control>
          </mc:Choice>
        </mc:AlternateContent>
        <mc:AlternateContent xmlns:mc="http://schemas.openxmlformats.org/markup-compatibility/2006">
          <mc:Choice Requires="x14">
            <control shapeId="2111" r:id="rId9" name="Drop Down 63">
              <controlPr defaultSize="0" autoLine="0" autoPict="0">
                <anchor moveWithCells="1">
                  <from>
                    <xdr:col>24</xdr:col>
                    <xdr:colOff>76200</xdr:colOff>
                    <xdr:row>20</xdr:row>
                    <xdr:rowOff>0</xdr:rowOff>
                  </from>
                  <to>
                    <xdr:col>38</xdr:col>
                    <xdr:colOff>152400</xdr:colOff>
                    <xdr:row>20</xdr:row>
                    <xdr:rowOff>289560</xdr:rowOff>
                  </to>
                </anchor>
              </controlPr>
            </control>
          </mc:Choice>
        </mc:AlternateContent>
        <mc:AlternateContent xmlns:mc="http://schemas.openxmlformats.org/markup-compatibility/2006">
          <mc:Choice Requires="x14">
            <control shapeId="2095" r:id="rId10" name="Drop Down 47">
              <controlPr defaultSize="0" autoLine="0" autoPict="0">
                <anchor moveWithCells="1">
                  <from>
                    <xdr:col>24</xdr:col>
                    <xdr:colOff>76200</xdr:colOff>
                    <xdr:row>24</xdr:row>
                    <xdr:rowOff>45720</xdr:rowOff>
                  </from>
                  <to>
                    <xdr:col>38</xdr:col>
                    <xdr:colOff>152400</xdr:colOff>
                    <xdr:row>25</xdr:row>
                    <xdr:rowOff>0</xdr:rowOff>
                  </to>
                </anchor>
              </controlPr>
            </control>
          </mc:Choice>
        </mc:AlternateContent>
        <mc:AlternateContent xmlns:mc="http://schemas.openxmlformats.org/markup-compatibility/2006">
          <mc:Choice Requires="x14">
            <control shapeId="2113" r:id="rId11" name="Drop Down 65">
              <controlPr defaultSize="0" autoLine="0" autoPict="0">
                <anchor moveWithCells="1">
                  <from>
                    <xdr:col>24</xdr:col>
                    <xdr:colOff>76200</xdr:colOff>
                    <xdr:row>23</xdr:row>
                    <xdr:rowOff>60960</xdr:rowOff>
                  </from>
                  <to>
                    <xdr:col>38</xdr:col>
                    <xdr:colOff>152400</xdr:colOff>
                    <xdr:row>24</xdr:row>
                    <xdr:rowOff>7620</xdr:rowOff>
                  </to>
                </anchor>
              </controlPr>
            </control>
          </mc:Choice>
        </mc:AlternateContent>
        <mc:AlternateContent xmlns:mc="http://schemas.openxmlformats.org/markup-compatibility/2006">
          <mc:Choice Requires="x14">
            <control shapeId="2114" r:id="rId12" name="Drop Down 66">
              <controlPr defaultSize="0" autoLine="0" autoPict="0">
                <anchor moveWithCells="1">
                  <from>
                    <xdr:col>24</xdr:col>
                    <xdr:colOff>76200</xdr:colOff>
                    <xdr:row>25</xdr:row>
                    <xdr:rowOff>38100</xdr:rowOff>
                  </from>
                  <to>
                    <xdr:col>38</xdr:col>
                    <xdr:colOff>152400</xdr:colOff>
                    <xdr:row>25</xdr:row>
                    <xdr:rowOff>327660</xdr:rowOff>
                  </to>
                </anchor>
              </controlPr>
            </control>
          </mc:Choice>
        </mc:AlternateContent>
        <mc:AlternateContent xmlns:mc="http://schemas.openxmlformats.org/markup-compatibility/2006">
          <mc:Choice Requires="x14">
            <control shapeId="2118" r:id="rId13" name="Scroll Bar 70">
              <controlPr defaultSize="0" autoPict="0">
                <anchor moveWithCells="1">
                  <from>
                    <xdr:col>24</xdr:col>
                    <xdr:colOff>76200</xdr:colOff>
                    <xdr:row>25</xdr:row>
                    <xdr:rowOff>335280</xdr:rowOff>
                  </from>
                  <to>
                    <xdr:col>34</xdr:col>
                    <xdr:colOff>160020</xdr:colOff>
                    <xdr:row>26</xdr:row>
                    <xdr:rowOff>327660</xdr:rowOff>
                  </to>
                </anchor>
              </controlPr>
            </control>
          </mc:Choice>
        </mc:AlternateContent>
        <mc:AlternateContent xmlns:mc="http://schemas.openxmlformats.org/markup-compatibility/2006">
          <mc:Choice Requires="x14">
            <control shapeId="2168" r:id="rId14" name="Check Box 120">
              <controlPr defaultSize="0" autoFill="0" autoLine="0" autoPict="0">
                <anchor moveWithCells="1">
                  <from>
                    <xdr:col>15</xdr:col>
                    <xdr:colOff>60960</xdr:colOff>
                    <xdr:row>29</xdr:row>
                    <xdr:rowOff>0</xdr:rowOff>
                  </from>
                  <to>
                    <xdr:col>16</xdr:col>
                    <xdr:colOff>99060</xdr:colOff>
                    <xdr:row>30</xdr:row>
                    <xdr:rowOff>0</xdr:rowOff>
                  </to>
                </anchor>
              </controlPr>
            </control>
          </mc:Choice>
        </mc:AlternateContent>
        <mc:AlternateContent xmlns:mc="http://schemas.openxmlformats.org/markup-compatibility/2006">
          <mc:Choice Requires="x14">
            <control shapeId="2177" r:id="rId15" name="Check Box 129">
              <controlPr defaultSize="0" autoFill="0" autoLine="0" autoPict="0">
                <anchor moveWithCells="1">
                  <from>
                    <xdr:col>15</xdr:col>
                    <xdr:colOff>60960</xdr:colOff>
                    <xdr:row>30</xdr:row>
                    <xdr:rowOff>0</xdr:rowOff>
                  </from>
                  <to>
                    <xdr:col>16</xdr:col>
                    <xdr:colOff>99060</xdr:colOff>
                    <xdr:row>31</xdr:row>
                    <xdr:rowOff>0</xdr:rowOff>
                  </to>
                </anchor>
              </controlPr>
            </control>
          </mc:Choice>
        </mc:AlternateContent>
        <mc:AlternateContent xmlns:mc="http://schemas.openxmlformats.org/markup-compatibility/2006">
          <mc:Choice Requires="x14">
            <control shapeId="2178" r:id="rId16" name="Check Box 130">
              <controlPr defaultSize="0" autoFill="0" autoLine="0" autoPict="0">
                <anchor moveWithCells="1">
                  <from>
                    <xdr:col>15</xdr:col>
                    <xdr:colOff>60960</xdr:colOff>
                    <xdr:row>31</xdr:row>
                    <xdr:rowOff>0</xdr:rowOff>
                  </from>
                  <to>
                    <xdr:col>16</xdr:col>
                    <xdr:colOff>99060</xdr:colOff>
                    <xdr:row>32</xdr:row>
                    <xdr:rowOff>0</xdr:rowOff>
                  </to>
                </anchor>
              </controlPr>
            </control>
          </mc:Choice>
        </mc:AlternateContent>
        <mc:AlternateContent xmlns:mc="http://schemas.openxmlformats.org/markup-compatibility/2006">
          <mc:Choice Requires="x14">
            <control shapeId="2179" r:id="rId17" name="Check Box 131">
              <controlPr defaultSize="0" autoFill="0" autoLine="0" autoPict="0">
                <anchor moveWithCells="1">
                  <from>
                    <xdr:col>15</xdr:col>
                    <xdr:colOff>60960</xdr:colOff>
                    <xdr:row>32</xdr:row>
                    <xdr:rowOff>0</xdr:rowOff>
                  </from>
                  <to>
                    <xdr:col>16</xdr:col>
                    <xdr:colOff>99060</xdr:colOff>
                    <xdr:row>33</xdr:row>
                    <xdr:rowOff>0</xdr:rowOff>
                  </to>
                </anchor>
              </controlPr>
            </control>
          </mc:Choice>
        </mc:AlternateContent>
        <mc:AlternateContent xmlns:mc="http://schemas.openxmlformats.org/markup-compatibility/2006">
          <mc:Choice Requires="x14">
            <control shapeId="2180" r:id="rId18" name="Check Box 132">
              <controlPr defaultSize="0" autoFill="0" autoLine="0" autoPict="0">
                <anchor moveWithCells="1">
                  <from>
                    <xdr:col>15</xdr:col>
                    <xdr:colOff>60960</xdr:colOff>
                    <xdr:row>33</xdr:row>
                    <xdr:rowOff>0</xdr:rowOff>
                  </from>
                  <to>
                    <xdr:col>16</xdr:col>
                    <xdr:colOff>99060</xdr:colOff>
                    <xdr:row>34</xdr:row>
                    <xdr:rowOff>0</xdr:rowOff>
                  </to>
                </anchor>
              </controlPr>
            </control>
          </mc:Choice>
        </mc:AlternateContent>
        <mc:AlternateContent xmlns:mc="http://schemas.openxmlformats.org/markup-compatibility/2006">
          <mc:Choice Requires="x14">
            <control shapeId="2205" r:id="rId19" name="Scroll Bar 157">
              <controlPr defaultSize="0" autoPict="0">
                <anchor moveWithCells="1">
                  <from>
                    <xdr:col>24</xdr:col>
                    <xdr:colOff>76200</xdr:colOff>
                    <xdr:row>17</xdr:row>
                    <xdr:rowOff>0</xdr:rowOff>
                  </from>
                  <to>
                    <xdr:col>34</xdr:col>
                    <xdr:colOff>160020</xdr:colOff>
                    <xdr:row>17</xdr:row>
                    <xdr:rowOff>327660</xdr:rowOff>
                  </to>
                </anchor>
              </controlPr>
            </control>
          </mc:Choice>
        </mc:AlternateContent>
        <mc:AlternateContent xmlns:mc="http://schemas.openxmlformats.org/markup-compatibility/2006">
          <mc:Choice Requires="x14">
            <control shapeId="2207" r:id="rId20" name="Scroll Bar 159">
              <controlPr defaultSize="0" autoPict="0">
                <anchor moveWithCells="1">
                  <from>
                    <xdr:col>24</xdr:col>
                    <xdr:colOff>76200</xdr:colOff>
                    <xdr:row>21</xdr:row>
                    <xdr:rowOff>0</xdr:rowOff>
                  </from>
                  <to>
                    <xdr:col>34</xdr:col>
                    <xdr:colOff>160020</xdr:colOff>
                    <xdr:row>21</xdr:row>
                    <xdr:rowOff>327660</xdr:rowOff>
                  </to>
                </anchor>
              </controlPr>
            </control>
          </mc:Choice>
        </mc:AlternateContent>
        <mc:AlternateContent xmlns:mc="http://schemas.openxmlformats.org/markup-compatibility/2006">
          <mc:Choice Requires="x14">
            <control shapeId="2219" r:id="rId21" name="Drop Down 171">
              <controlPr defaultSize="0" autoLine="0" autoPict="0">
                <anchor moveWithCells="1">
                  <from>
                    <xdr:col>32</xdr:col>
                    <xdr:colOff>30480</xdr:colOff>
                    <xdr:row>29</xdr:row>
                    <xdr:rowOff>60960</xdr:rowOff>
                  </from>
                  <to>
                    <xdr:col>36</xdr:col>
                    <xdr:colOff>137160</xdr:colOff>
                    <xdr:row>29</xdr:row>
                    <xdr:rowOff>297180</xdr:rowOff>
                  </to>
                </anchor>
              </controlPr>
            </control>
          </mc:Choice>
        </mc:AlternateContent>
        <mc:AlternateContent xmlns:mc="http://schemas.openxmlformats.org/markup-compatibility/2006">
          <mc:Choice Requires="x14">
            <control shapeId="2224" r:id="rId22" name="Drop Down 176">
              <controlPr defaultSize="0" autoLine="0" autoPict="0">
                <anchor moveWithCells="1">
                  <from>
                    <xdr:col>32</xdr:col>
                    <xdr:colOff>30480</xdr:colOff>
                    <xdr:row>30</xdr:row>
                    <xdr:rowOff>60960</xdr:rowOff>
                  </from>
                  <to>
                    <xdr:col>36</xdr:col>
                    <xdr:colOff>137160</xdr:colOff>
                    <xdr:row>30</xdr:row>
                    <xdr:rowOff>297180</xdr:rowOff>
                  </to>
                </anchor>
              </controlPr>
            </control>
          </mc:Choice>
        </mc:AlternateContent>
        <mc:AlternateContent xmlns:mc="http://schemas.openxmlformats.org/markup-compatibility/2006">
          <mc:Choice Requires="x14">
            <control shapeId="2225" r:id="rId23" name="Drop Down 177">
              <controlPr defaultSize="0" autoLine="0" autoPict="0">
                <anchor moveWithCells="1">
                  <from>
                    <xdr:col>32</xdr:col>
                    <xdr:colOff>30480</xdr:colOff>
                    <xdr:row>31</xdr:row>
                    <xdr:rowOff>60960</xdr:rowOff>
                  </from>
                  <to>
                    <xdr:col>36</xdr:col>
                    <xdr:colOff>137160</xdr:colOff>
                    <xdr:row>31</xdr:row>
                    <xdr:rowOff>297180</xdr:rowOff>
                  </to>
                </anchor>
              </controlPr>
            </control>
          </mc:Choice>
        </mc:AlternateContent>
        <mc:AlternateContent xmlns:mc="http://schemas.openxmlformats.org/markup-compatibility/2006">
          <mc:Choice Requires="x14">
            <control shapeId="2226" r:id="rId24" name="Drop Down 178">
              <controlPr defaultSize="0" autoLine="0" autoPict="0">
                <anchor moveWithCells="1">
                  <from>
                    <xdr:col>32</xdr:col>
                    <xdr:colOff>30480</xdr:colOff>
                    <xdr:row>33</xdr:row>
                    <xdr:rowOff>60960</xdr:rowOff>
                  </from>
                  <to>
                    <xdr:col>36</xdr:col>
                    <xdr:colOff>137160</xdr:colOff>
                    <xdr:row>33</xdr:row>
                    <xdr:rowOff>297180</xdr:rowOff>
                  </to>
                </anchor>
              </controlPr>
            </control>
          </mc:Choice>
        </mc:AlternateContent>
        <mc:AlternateContent xmlns:mc="http://schemas.openxmlformats.org/markup-compatibility/2006">
          <mc:Choice Requires="x14">
            <control shapeId="2227" r:id="rId25" name="Drop Down 179">
              <controlPr defaultSize="0" autoLine="0" autoPict="0">
                <anchor moveWithCells="1">
                  <from>
                    <xdr:col>32</xdr:col>
                    <xdr:colOff>30480</xdr:colOff>
                    <xdr:row>32</xdr:row>
                    <xdr:rowOff>60960</xdr:rowOff>
                  </from>
                  <to>
                    <xdr:col>36</xdr:col>
                    <xdr:colOff>137160</xdr:colOff>
                    <xdr:row>32</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159-DA4B-4E3C-B8BC-569A5A9DF7C1}">
  <sheetPr codeName="Sheet31"/>
  <dimension ref="A2:I100"/>
  <sheetViews>
    <sheetView workbookViewId="0">
      <selection activeCell="BX9" sqref="BX9:CA9"/>
    </sheetView>
  </sheetViews>
  <sheetFormatPr defaultRowHeight="14.4" x14ac:dyDescent="0.3"/>
  <cols>
    <col min="1" max="1" width="43" bestFit="1" customWidth="1"/>
    <col min="2" max="2" width="11.5546875" customWidth="1"/>
    <col min="3" max="3" width="20.5546875" bestFit="1" customWidth="1"/>
    <col min="4" max="4" width="52.33203125" bestFit="1" customWidth="1"/>
    <col min="5" max="5" width="51.44140625" bestFit="1" customWidth="1"/>
    <col min="6" max="11" width="9.109375" customWidth="1"/>
  </cols>
  <sheetData>
    <row r="2" spans="1:4" ht="18" thickBot="1" x14ac:dyDescent="0.4">
      <c r="A2" s="10" t="s">
        <v>135</v>
      </c>
    </row>
    <row r="3" spans="1:4" ht="15" thickTop="1" x14ac:dyDescent="0.3">
      <c r="A3" s="2" t="s">
        <v>29</v>
      </c>
      <c r="B3" s="3" t="s">
        <v>164</v>
      </c>
      <c r="C3" s="3" t="s">
        <v>161</v>
      </c>
      <c r="D3" s="2" t="s">
        <v>30</v>
      </c>
    </row>
    <row r="4" spans="1:4" x14ac:dyDescent="0.3">
      <c r="A4" s="5" t="s">
        <v>28</v>
      </c>
      <c r="B4" s="5"/>
      <c r="C4" s="5"/>
      <c r="D4" s="5"/>
    </row>
    <row r="5" spans="1:4" x14ac:dyDescent="0.3">
      <c r="A5" s="8" t="s">
        <v>162</v>
      </c>
      <c r="B5" s="9"/>
      <c r="C5" s="9" t="e" cm="1" vm="1">
        <f t="array" aca="1" ref="C5" ca="1">INDEX(Apu!$A$3:$A$12,Tiedot!$B$4,1)</f>
        <v>#VALUE!</v>
      </c>
      <c r="D5" s="9"/>
    </row>
    <row r="6" spans="1:4" x14ac:dyDescent="0.3">
      <c r="A6" s="5" t="s">
        <v>163</v>
      </c>
      <c r="B6" s="5"/>
      <c r="C6" s="5" t="e" cm="1" vm="1">
        <f t="array" aca="1" ref="C6" ca="1">INDEX(Apu!$B$3:$B$12,Tiedot!$B$4,1)</f>
        <v>#VALUE!</v>
      </c>
      <c r="D6" s="5"/>
    </row>
    <row r="7" spans="1:4" x14ac:dyDescent="0.3">
      <c r="A7" s="8" t="s">
        <v>2</v>
      </c>
      <c r="B7" s="9"/>
      <c r="C7" s="9" t="e" cm="1" vm="1">
        <f t="array" aca="1" ref="C7" ca="1">INDEX(Apu!$C$3:$C$12,Tiedot!$B$4,1)</f>
        <v>#VALUE!</v>
      </c>
      <c r="D7" s="9"/>
    </row>
    <row r="8" spans="1:4" x14ac:dyDescent="0.3">
      <c r="A8" s="5" t="s">
        <v>133</v>
      </c>
      <c r="B8" s="5"/>
      <c r="C8" s="5" t="e" cm="1" vm="2">
        <f t="array" aca="1" ref="C8" ca="1">INDEX(Apu!E3:E24,Tiedot!$B$8,1)</f>
        <v>#VALUE!</v>
      </c>
      <c r="D8" s="5"/>
    </row>
    <row r="9" spans="1:4" x14ac:dyDescent="0.3">
      <c r="A9" s="8" t="s">
        <v>134</v>
      </c>
      <c r="B9" s="9"/>
      <c r="C9" s="9" t="e" cm="1" vm="3">
        <f t="array" aca="1" ref="C9" ca="1">INDEX(Apu!$A$68:$A$71,Tiedot!$B$9,1)</f>
        <v>#VALUE!</v>
      </c>
      <c r="D9" s="9"/>
    </row>
    <row r="10" spans="1:4" x14ac:dyDescent="0.3">
      <c r="A10" s="5" t="s">
        <v>178</v>
      </c>
      <c r="B10" s="5" t="e" vm="4">
        <f ca="1">$C$5&amp;","&amp;$C$8&amp;","&amp;$C$9</f>
        <v>#VALUE!</v>
      </c>
      <c r="C10" s="5"/>
      <c r="D10" s="5"/>
    </row>
    <row r="11" spans="1:4" x14ac:dyDescent="0.3">
      <c r="A11" s="8" t="s">
        <v>179</v>
      </c>
      <c r="B11" s="9" t="e" vm="4">
        <f ca="1">$C$5&amp;","&amp;$C$8</f>
        <v>#VALUE!</v>
      </c>
      <c r="C11" s="9"/>
      <c r="D11" s="9"/>
    </row>
    <row r="12" spans="1:4" x14ac:dyDescent="0.3">
      <c r="A12" s="5" t="s">
        <v>331</v>
      </c>
      <c r="B12" s="5"/>
      <c r="C12" s="5" t="e" cm="1" vm="5">
        <f t="array" aca="1" ref="C12" ca="1">INDEX(Apu!$A$17:$A$22,Tiedot!$B$12,1)</f>
        <v>#VALUE!</v>
      </c>
      <c r="D12" s="5"/>
    </row>
    <row r="13" spans="1:4" x14ac:dyDescent="0.3">
      <c r="A13" s="8" t="s">
        <v>333</v>
      </c>
      <c r="B13" s="9">
        <f>Purkulaskuri!$AJ$18/100</f>
        <v>1</v>
      </c>
      <c r="C13" s="9">
        <v>100</v>
      </c>
      <c r="D13" s="9"/>
    </row>
    <row r="14" spans="1:4" x14ac:dyDescent="0.3">
      <c r="A14" s="5" t="s">
        <v>332</v>
      </c>
      <c r="B14" s="5"/>
      <c r="C14" s="5" t="e" cm="1" vm="5">
        <f t="array" aca="1" ref="C14" ca="1">INDEX(Apu!$A$17:$A$22,Tiedot!$B$14,1)</f>
        <v>#VALUE!</v>
      </c>
      <c r="D14" s="5"/>
    </row>
    <row r="15" spans="1:4" x14ac:dyDescent="0.3">
      <c r="A15" s="8" t="s">
        <v>334</v>
      </c>
      <c r="B15" s="9">
        <f>Purkulaskuri!$AJ$19/100</f>
        <v>0</v>
      </c>
      <c r="C15" s="9"/>
      <c r="D15" s="9"/>
    </row>
    <row r="16" spans="1:4" x14ac:dyDescent="0.3">
      <c r="A16" s="5" t="s">
        <v>158</v>
      </c>
      <c r="B16" s="5"/>
      <c r="C16" s="5" t="e" cm="1" vm="6">
        <f t="array" aca="1" ref="C16" ca="1">INDEX(Apu!$A$26:$A$34,Tiedot!$B$16,1)</f>
        <v>#VALUE!</v>
      </c>
      <c r="D16" s="5"/>
    </row>
    <row r="17" spans="1:4" x14ac:dyDescent="0.3">
      <c r="A17" s="8" t="s">
        <v>165</v>
      </c>
      <c r="B17" s="9">
        <f>Purkulaskuri!$AJ$22/100</f>
        <v>1</v>
      </c>
      <c r="C17" s="9">
        <v>100</v>
      </c>
      <c r="D17" s="9"/>
    </row>
    <row r="18" spans="1:4" x14ac:dyDescent="0.3">
      <c r="A18" s="5" t="s">
        <v>159</v>
      </c>
      <c r="B18" s="5"/>
      <c r="C18" s="5" t="e" cm="1" vm="6">
        <f t="array" aca="1" ref="C18" ca="1">INDEX(Apu!$A$26:$A$34,Tiedot!B18,1)</f>
        <v>#VALUE!</v>
      </c>
      <c r="D18" s="5"/>
    </row>
    <row r="19" spans="1:4" x14ac:dyDescent="0.3">
      <c r="A19" s="8" t="s">
        <v>166</v>
      </c>
      <c r="B19" s="9">
        <f>Purkulaskuri!$AJ$23/100</f>
        <v>0</v>
      </c>
      <c r="C19" s="9"/>
      <c r="D19" s="9"/>
    </row>
    <row r="20" spans="1:4" x14ac:dyDescent="0.3">
      <c r="A20" s="5" t="s">
        <v>10</v>
      </c>
      <c r="B20" s="5"/>
      <c r="C20" s="5" t="e" cm="1" vm="7">
        <f t="array" aca="1" ref="C20" ca="1">INDEX(Apu!$A$38:$A$40,Tiedot!$B$20,1)</f>
        <v>#VALUE!</v>
      </c>
      <c r="D20" s="5"/>
    </row>
    <row r="21" spans="1:4" x14ac:dyDescent="0.3">
      <c r="A21" s="8" t="s">
        <v>167</v>
      </c>
      <c r="B21" s="9"/>
      <c r="C21" s="9" t="e" cm="1" vm="3">
        <f t="array" aca="1" ref="C21" ca="1">INDEX(Apu!$A$51:$A$54,Tiedot!$B$21,1)</f>
        <v>#VALUE!</v>
      </c>
      <c r="D21" s="9"/>
    </row>
    <row r="22" spans="1:4" x14ac:dyDescent="0.3">
      <c r="A22" s="5" t="s">
        <v>155</v>
      </c>
      <c r="B22" s="5">
        <f>Purkulaskuri!$AJ$27/100</f>
        <v>0</v>
      </c>
      <c r="C22" s="5">
        <v>0</v>
      </c>
      <c r="D22" s="5"/>
    </row>
    <row r="24" spans="1:4" ht="18" thickBot="1" x14ac:dyDescent="0.4">
      <c r="A24" s="10" t="s">
        <v>138</v>
      </c>
    </row>
    <row r="25" spans="1:4" ht="15" thickTop="1" x14ac:dyDescent="0.3">
      <c r="A25" s="2" t="s">
        <v>29</v>
      </c>
      <c r="B25" s="3" t="s">
        <v>164</v>
      </c>
      <c r="C25" s="3" t="s">
        <v>338</v>
      </c>
      <c r="D25" s="2" t="s">
        <v>30</v>
      </c>
    </row>
    <row r="26" spans="1:4" x14ac:dyDescent="0.3">
      <c r="A26" s="5" t="s">
        <v>294</v>
      </c>
      <c r="B26" s="5" t="b">
        <v>0</v>
      </c>
      <c r="C26" s="5">
        <f>IF(B26,1,0)</f>
        <v>0</v>
      </c>
      <c r="D26" s="5"/>
    </row>
    <row r="27" spans="1:4" x14ac:dyDescent="0.3">
      <c r="A27" s="8" t="s">
        <v>302</v>
      </c>
      <c r="B27" s="9" t="b">
        <v>0</v>
      </c>
      <c r="C27" s="9">
        <f>IF(B27,1,0)</f>
        <v>0</v>
      </c>
      <c r="D27" s="9"/>
    </row>
    <row r="28" spans="1:4" x14ac:dyDescent="0.3">
      <c r="A28" s="5" t="s">
        <v>295</v>
      </c>
      <c r="B28" s="5" t="b">
        <v>0</v>
      </c>
      <c r="C28" s="5">
        <f t="shared" ref="C28:C31" si="0">IF(B28,1,0)</f>
        <v>0</v>
      </c>
      <c r="D28" s="5"/>
    </row>
    <row r="29" spans="1:4" x14ac:dyDescent="0.3">
      <c r="A29" s="8" t="s">
        <v>368</v>
      </c>
      <c r="B29" s="9" t="b">
        <v>0</v>
      </c>
      <c r="C29" s="9">
        <f t="shared" si="0"/>
        <v>0</v>
      </c>
      <c r="D29" s="9"/>
    </row>
    <row r="30" spans="1:4" x14ac:dyDescent="0.3">
      <c r="A30" s="5" t="s">
        <v>389</v>
      </c>
      <c r="B30" s="5" t="b">
        <v>0</v>
      </c>
      <c r="C30" s="5">
        <f t="shared" si="0"/>
        <v>0</v>
      </c>
      <c r="D30" s="5"/>
    </row>
    <row r="31" spans="1:4" x14ac:dyDescent="0.3">
      <c r="A31" s="8" t="s">
        <v>289</v>
      </c>
      <c r="B31" s="9" t="b">
        <v>0</v>
      </c>
      <c r="C31" s="9">
        <f t="shared" si="0"/>
        <v>0</v>
      </c>
      <c r="D31" s="9"/>
    </row>
    <row r="32" spans="1:4" x14ac:dyDescent="0.3">
      <c r="A32" s="5" t="s">
        <v>290</v>
      </c>
      <c r="B32" s="5" t="b">
        <v>0</v>
      </c>
      <c r="C32" s="5">
        <f>IF(B32,1,0)</f>
        <v>0</v>
      </c>
      <c r="D32" s="5"/>
    </row>
    <row r="33" spans="1:4" x14ac:dyDescent="0.3">
      <c r="A33" s="8" t="s">
        <v>311</v>
      </c>
      <c r="B33" s="9"/>
      <c r="C33" s="9">
        <f>IF(B33="",0,IF(B33=1,0,1))</f>
        <v>0</v>
      </c>
      <c r="D33" s="9">
        <f>B33-1</f>
        <v>-1</v>
      </c>
    </row>
    <row r="34" spans="1:4" x14ac:dyDescent="0.3">
      <c r="A34" s="5" t="s">
        <v>292</v>
      </c>
      <c r="B34" s="5"/>
      <c r="C34" s="5">
        <f t="shared" ref="C34:C37" si="1">IF(B34="",0,IF(B34=1,0,1))</f>
        <v>0</v>
      </c>
      <c r="D34" s="5">
        <f t="shared" ref="D34:D37" si="2">B34-1</f>
        <v>-1</v>
      </c>
    </row>
    <row r="35" spans="1:4" x14ac:dyDescent="0.3">
      <c r="A35" s="8" t="s">
        <v>291</v>
      </c>
      <c r="B35" s="9"/>
      <c r="C35" s="9">
        <f t="shared" si="1"/>
        <v>0</v>
      </c>
      <c r="D35" s="9">
        <f t="shared" si="2"/>
        <v>-1</v>
      </c>
    </row>
    <row r="36" spans="1:4" x14ac:dyDescent="0.3">
      <c r="A36" s="5" t="s">
        <v>293</v>
      </c>
      <c r="B36" s="5"/>
      <c r="C36" s="5">
        <f t="shared" si="1"/>
        <v>0</v>
      </c>
      <c r="D36" s="5">
        <f t="shared" si="2"/>
        <v>-1</v>
      </c>
    </row>
    <row r="37" spans="1:4" x14ac:dyDescent="0.3">
      <c r="A37" s="8" t="s">
        <v>312</v>
      </c>
      <c r="B37" s="9"/>
      <c r="C37" s="9">
        <f t="shared" si="1"/>
        <v>0</v>
      </c>
      <c r="D37" s="9">
        <f t="shared" si="2"/>
        <v>-1</v>
      </c>
    </row>
    <row r="39" spans="1:4" x14ac:dyDescent="0.3">
      <c r="A39" s="2" t="s">
        <v>21</v>
      </c>
      <c r="B39" s="3" t="s">
        <v>172</v>
      </c>
      <c r="C39" s="3" t="s">
        <v>173</v>
      </c>
      <c r="D39" s="3" t="s">
        <v>174</v>
      </c>
    </row>
    <row r="40" spans="1:4" x14ac:dyDescent="0.3">
      <c r="A40" s="5" t="s">
        <v>26</v>
      </c>
      <c r="B40" s="11">
        <f>IF(Purkulaskuri!$BX$9&lt;0,NA(),Purkulaskuri!$BX$9)</f>
        <v>0</v>
      </c>
      <c r="C40" s="6"/>
      <c r="D40" s="11">
        <f>$B$40</f>
        <v>0</v>
      </c>
    </row>
    <row r="41" spans="1:4" x14ac:dyDescent="0.3">
      <c r="A41" s="8" t="s">
        <v>22</v>
      </c>
      <c r="B41" s="12">
        <f>IF(OR(ISBLANK(Purkulaskuri!$BX$18),Purkulaskuri!$BX$18=0),0,Purkulaskuri!$BX$18)</f>
        <v>0</v>
      </c>
      <c r="C41" s="9" t="e" vm="4">
        <f ca="1">MAX(K*VolAlaSuhde,regr_I+regr_k*K)</f>
        <v>#VALUE!</v>
      </c>
      <c r="D41" s="9" t="e" vm="4">
        <f ca="1">IF(B41=0,C41,B41)</f>
        <v>#VALUE!</v>
      </c>
    </row>
    <row r="42" spans="1:4" x14ac:dyDescent="0.3">
      <c r="A42" s="5" t="s">
        <v>27</v>
      </c>
      <c r="B42" s="11">
        <f>IF(OR(ISBLANK(Purkulaskuri!$BX$19),Purkulaskuri!$BX$19=0),0,Purkulaskuri!$BX$19)</f>
        <v>0</v>
      </c>
      <c r="C42" s="6" t="e" vm="4">
        <f ca="1">K*rs_paff+ri_paff</f>
        <v>#VALUE!</v>
      </c>
      <c r="D42" s="6" t="e" vm="4">
        <f t="shared" ref="D42:D59" ca="1" si="3">IF(B42=0,C42,B42)</f>
        <v>#VALUE!</v>
      </c>
    </row>
    <row r="43" spans="1:4" x14ac:dyDescent="0.3">
      <c r="A43" s="8" t="s">
        <v>168</v>
      </c>
      <c r="B43" s="12">
        <f>IF(OR(ISBLANK(Purkulaskuri!$BX$20),Purkulaskuri!$BX$20=0),0,Purkulaskuri!$BX$20)</f>
        <v>0</v>
      </c>
      <c r="C43" s="9">
        <f>K*$B$22</f>
        <v>0</v>
      </c>
      <c r="D43" s="9">
        <f t="shared" si="3"/>
        <v>0</v>
      </c>
    </row>
    <row r="44" spans="1:4" x14ac:dyDescent="0.3">
      <c r="A44" s="5" t="s">
        <v>25</v>
      </c>
      <c r="B44" s="11">
        <f>IF(OR(ISBLANK(Purkulaskuri!$BX$21),Purkulaskuri!$BX$21=0),0,Purkulaskuri!$BX$21)</f>
        <v>0</v>
      </c>
      <c r="C44" s="6" t="e" vm="4">
        <f ca="1">MAX(rs_vpala*K+ri_vpala,rs0_VpAla*K)+C43</f>
        <v>#VALUE!</v>
      </c>
      <c r="D44" s="6" t="e" vm="4">
        <f t="shared" ca="1" si="3"/>
        <v>#VALUE!</v>
      </c>
    </row>
    <row r="45" spans="1:4" x14ac:dyDescent="0.3">
      <c r="A45" s="8" t="s">
        <v>33</v>
      </c>
      <c r="B45" s="12">
        <f>IF(OR(ISBLANK(Purkulaskuri!$BX$22),Purkulaskuri!$BX$22=0),0,Purkulaskuri!$BX$22)</f>
        <v>0</v>
      </c>
      <c r="C45" s="9" t="e" vm="4">
        <f ca="1">MAX(rs_jp*C9*PohjaPiiri+ri_jp,jp_05dec*C9*PohjaPiiri)</f>
        <v>#VALUE!</v>
      </c>
      <c r="D45" s="9" t="e" vm="4">
        <f ca="1">IF(B45=0,C45,B45)</f>
        <v>#VALUE!</v>
      </c>
    </row>
    <row r="46" spans="1:4" x14ac:dyDescent="0.3">
      <c r="A46" s="5" t="s">
        <v>360</v>
      </c>
      <c r="B46" s="11">
        <f>$B$13*$B$45</f>
        <v>0</v>
      </c>
      <c r="C46" s="6" t="e" vm="4">
        <f ca="1">$B$13*$D$45</f>
        <v>#VALUE!</v>
      </c>
      <c r="D46" s="6" t="e" vm="4">
        <f t="shared" ca="1" si="3"/>
        <v>#VALUE!</v>
      </c>
    </row>
    <row r="47" spans="1:4" x14ac:dyDescent="0.3">
      <c r="A47" s="8" t="s">
        <v>361</v>
      </c>
      <c r="B47" s="12">
        <f>$B$15*$B$45</f>
        <v>0</v>
      </c>
      <c r="C47" s="9" t="e" vm="4">
        <f ca="1">$B$15*$D$45</f>
        <v>#VALUE!</v>
      </c>
      <c r="D47" s="9" t="e" vm="4">
        <f t="shared" ca="1" si="3"/>
        <v>#VALUE!</v>
      </c>
    </row>
    <row r="48" spans="1:4" x14ac:dyDescent="0.3">
      <c r="A48" s="5" t="s">
        <v>175</v>
      </c>
      <c r="B48" s="6">
        <f>$B$17*$B$45</f>
        <v>0</v>
      </c>
      <c r="C48" s="6" t="e" vm="4">
        <f ca="1">$B$17*$D$45</f>
        <v>#VALUE!</v>
      </c>
      <c r="D48" s="6" t="e" vm="4">
        <f t="shared" ca="1" si="3"/>
        <v>#VALUE!</v>
      </c>
    </row>
    <row r="49" spans="1:9" x14ac:dyDescent="0.3">
      <c r="A49" s="8" t="s">
        <v>176</v>
      </c>
      <c r="B49" s="9">
        <f>$B$19*B45</f>
        <v>0</v>
      </c>
      <c r="C49" s="9" t="e" vm="4">
        <f ca="1">$B$19*$D$45</f>
        <v>#VALUE!</v>
      </c>
      <c r="D49" s="9" t="e" vm="4">
        <f ca="1">IF(B49=0,C49,B49)</f>
        <v>#VALUE!</v>
      </c>
    </row>
    <row r="50" spans="1:9" x14ac:dyDescent="0.3">
      <c r="A50" s="5" t="s">
        <v>170</v>
      </c>
      <c r="B50" s="11"/>
      <c r="C50" s="6" t="e" vm="4">
        <f ca="1">$D$45*0.23</f>
        <v>#VALUE!</v>
      </c>
      <c r="D50" s="6" t="e" vm="4">
        <f t="shared" ca="1" si="3"/>
        <v>#VALUE!</v>
      </c>
    </row>
    <row r="51" spans="1:9" x14ac:dyDescent="0.3">
      <c r="A51" s="8" t="s">
        <v>169</v>
      </c>
      <c r="B51" s="12">
        <f>IF(OR(ISBLANK(Purkulaskuri!$BX$23),Purkulaskuri!$BX$23=0),0,Purkulaskuri!$BX$23)</f>
        <v>0</v>
      </c>
      <c r="C51" s="9">
        <f>MAX($C$52,$C$53)</f>
        <v>0</v>
      </c>
      <c r="D51" s="9">
        <f t="shared" si="3"/>
        <v>0</v>
      </c>
    </row>
    <row r="52" spans="1:9" x14ac:dyDescent="0.3">
      <c r="A52" s="5" t="s">
        <v>34</v>
      </c>
      <c r="B52" s="11"/>
      <c r="C52" s="6">
        <f>IF(OR($B$20=1),$D$42,0)</f>
        <v>0</v>
      </c>
      <c r="D52" s="6">
        <f t="shared" si="3"/>
        <v>0</v>
      </c>
    </row>
    <row r="53" spans="1:9" x14ac:dyDescent="0.3">
      <c r="A53" s="8" t="s">
        <v>35</v>
      </c>
      <c r="B53" s="12"/>
      <c r="C53" s="9">
        <f>IF($B$20=2,1.064*$D$42,0)</f>
        <v>0</v>
      </c>
      <c r="D53" s="9">
        <f t="shared" si="3"/>
        <v>0</v>
      </c>
    </row>
    <row r="54" spans="1:9" x14ac:dyDescent="0.3">
      <c r="A54" s="5" t="s">
        <v>36</v>
      </c>
      <c r="B54" s="11"/>
      <c r="C54" s="6" t="e" vm="4">
        <f ca="1">$D$41*VäliseinäOmluku</f>
        <v>#VALUE!</v>
      </c>
      <c r="D54" s="6" t="e" vm="4">
        <f t="shared" ca="1" si="3"/>
        <v>#VALUE!</v>
      </c>
    </row>
    <row r="55" spans="1:9" x14ac:dyDescent="0.3">
      <c r="A55" s="8" t="s">
        <v>39</v>
      </c>
      <c r="B55" s="12">
        <f>IF(ISBLANK(Purkulaskuri!$BX$24),0,Purkulaskuri!$BX$24)</f>
        <v>0</v>
      </c>
      <c r="C55" s="9" t="e" vm="4">
        <f ca="1">$D$41*MärkätilaAlaluku</f>
        <v>#VALUE!</v>
      </c>
      <c r="D55" s="9" t="e" vm="4">
        <f t="shared" ca="1" si="3"/>
        <v>#VALUE!</v>
      </c>
    </row>
    <row r="56" spans="1:9" x14ac:dyDescent="0.3">
      <c r="A56" s="5" t="s">
        <v>42</v>
      </c>
      <c r="B56" s="11"/>
      <c r="C56" s="6">
        <f>$D$43*3</f>
        <v>0</v>
      </c>
      <c r="D56" s="6">
        <f t="shared" si="3"/>
        <v>0</v>
      </c>
    </row>
    <row r="57" spans="1:9" x14ac:dyDescent="0.3">
      <c r="A57" s="8" t="s">
        <v>23</v>
      </c>
      <c r="B57" s="12">
        <f>IF(ISBLANK(Purkulaskuri!$BX$25),0,Purkulaskuri!$BX$25)</f>
        <v>0</v>
      </c>
      <c r="C57" s="9" t="e" vm="4">
        <f ca="1">MAX(rs_pp*SQRT(PohjaAla)+ri_pp,pp_05dec*SQRT(PohjaAla))</f>
        <v>#VALUE!</v>
      </c>
      <c r="D57" s="9" t="e" vm="4">
        <f t="shared" ca="1" si="3"/>
        <v>#VALUE!</v>
      </c>
    </row>
    <row r="58" spans="1:9" x14ac:dyDescent="0.3">
      <c r="A58" s="5" t="s">
        <v>24</v>
      </c>
      <c r="B58" s="11">
        <f>IF(ISBLANK(Purkulaskuri!$BX$26),0,Purkulaskuri!$BX$26)</f>
        <v>0</v>
      </c>
      <c r="C58" s="6">
        <f>5.26*SQRT($D$43)</f>
        <v>0</v>
      </c>
      <c r="D58" s="6">
        <f t="shared" si="3"/>
        <v>0</v>
      </c>
      <c r="I58" s="13"/>
    </row>
    <row r="59" spans="1:9" x14ac:dyDescent="0.3">
      <c r="A59" s="8" t="s">
        <v>41</v>
      </c>
      <c r="B59" s="12"/>
      <c r="C59" s="9" t="e" vm="4">
        <f ca="1">MIN(rs_NurkkaAla*PohjaAla+ri_NurkkaAla,4)</f>
        <v>#VALUE!</v>
      </c>
      <c r="D59" s="9" t="e" vm="4">
        <f t="shared" ca="1" si="3"/>
        <v>#VALUE!</v>
      </c>
    </row>
    <row r="60" spans="1:9" x14ac:dyDescent="0.3">
      <c r="A60" s="5" t="s">
        <v>306</v>
      </c>
      <c r="B60" s="11">
        <f>Purkulaskuri!$BX$10</f>
        <v>0</v>
      </c>
      <c r="C60" s="6"/>
      <c r="D60" s="11">
        <f>$B$60</f>
        <v>0</v>
      </c>
    </row>
    <row r="62" spans="1:9" x14ac:dyDescent="0.3">
      <c r="A62" s="2" t="s">
        <v>171</v>
      </c>
      <c r="B62" s="3"/>
      <c r="C62" s="3"/>
      <c r="D62" s="3"/>
    </row>
    <row r="63" spans="1:9" x14ac:dyDescent="0.3">
      <c r="A63" s="5" t="s">
        <v>100</v>
      </c>
      <c r="B63" s="11" t="e" vm="4">
        <f ca="1">INDEX(Kokoparametrit!$E$2:$X$1000,MATCH(Tiedot!$B$10,Kokoparametrit!$D$2:$D$1000,0),MATCH($A63,Kokoparametrit!$E$1:$X$1,0))</f>
        <v>#VALUE!</v>
      </c>
      <c r="C63" s="6"/>
      <c r="D63" s="6"/>
    </row>
    <row r="64" spans="1:9" x14ac:dyDescent="0.3">
      <c r="A64" s="8" t="s">
        <v>101</v>
      </c>
      <c r="B64" s="12" t="e" vm="4">
        <f ca="1">INDEX(Kokoparametrit!$E$2:$X$1000,MATCH(Tiedot!$B$10,Kokoparametrit!$D$2:$D$1000,0),MATCH($A64,Kokoparametrit!$E$1:$X$1,0))</f>
        <v>#VALUE!</v>
      </c>
      <c r="C64" s="9"/>
      <c r="D64" s="9"/>
    </row>
    <row r="65" spans="1:4" x14ac:dyDescent="0.3">
      <c r="A65" s="5" t="s">
        <v>102</v>
      </c>
      <c r="B65" s="11" t="e" vm="4">
        <f ca="1">INDEX(Kokoparametrit!$E$2:$X$1000,MATCH(Tiedot!$B$10,Kokoparametrit!$D$2:$D$1000,0),MATCH($A65,Kokoparametrit!$E$1:$X$1,0))</f>
        <v>#VALUE!</v>
      </c>
      <c r="C65" s="6"/>
      <c r="D65" s="6"/>
    </row>
    <row r="66" spans="1:4" x14ac:dyDescent="0.3">
      <c r="A66" s="8" t="s">
        <v>18</v>
      </c>
      <c r="B66" s="12" t="e" vm="4">
        <f ca="1">INDEX(Kokoparametrit!$E$2:$X$1000,MATCH(Tiedot!$B$10,Kokoparametrit!$D$2:$D$1000,0),MATCH($A66,Kokoparametrit!$E$1:$X$1,0))</f>
        <v>#VALUE!</v>
      </c>
      <c r="C66" s="9"/>
      <c r="D66" s="9"/>
    </row>
    <row r="67" spans="1:4" x14ac:dyDescent="0.3">
      <c r="A67" s="5" t="s">
        <v>19</v>
      </c>
      <c r="B67" s="11" t="e" vm="4">
        <f ca="1">INDEX(Kokoparametrit!$E$2:$X$1000,MATCH(Tiedot!$B$10,Kokoparametrit!$D$2:$D$1000,0),MATCH($A67,Kokoparametrit!$E$1:$X$1,0))</f>
        <v>#VALUE!</v>
      </c>
      <c r="C67" s="6"/>
      <c r="D67" s="6"/>
    </row>
    <row r="68" spans="1:4" x14ac:dyDescent="0.3">
      <c r="A68" s="8" t="s">
        <v>103</v>
      </c>
      <c r="B68" s="12" t="e" vm="4">
        <f ca="1">INDEX(Kokoparametrit!$E$2:$X$1000,MATCH(Tiedot!$B$10,Kokoparametrit!$D$2:$D$1000,0),MATCH($A68,Kokoparametrit!$E$1:$X$1,0))</f>
        <v>#VALUE!</v>
      </c>
      <c r="C68" s="9"/>
      <c r="D68" s="9"/>
    </row>
    <row r="69" spans="1:4" x14ac:dyDescent="0.3">
      <c r="A69" s="5" t="s">
        <v>104</v>
      </c>
      <c r="B69" s="11" t="e" vm="4">
        <f ca="1">INDEX(Kokoparametrit!$E$2:$X$1000,MATCH(Tiedot!$B$10,Kokoparametrit!$D$2:$D$1000,0),MATCH($A69,Kokoparametrit!$E$1:$X$1,0))</f>
        <v>#VALUE!</v>
      </c>
      <c r="C69" s="6"/>
      <c r="D69" s="6"/>
    </row>
    <row r="70" spans="1:4" x14ac:dyDescent="0.3">
      <c r="A70" s="8" t="s">
        <v>105</v>
      </c>
      <c r="B70" s="12" t="e" vm="4">
        <f ca="1">INDEX(Kokoparametrit!$E$2:$X$1000,MATCH(Tiedot!$B$10,Kokoparametrit!$D$2:$D$1000,0),MATCH($A70,Kokoparametrit!$E$1:$X$1,0))</f>
        <v>#VALUE!</v>
      </c>
      <c r="C70" s="9"/>
      <c r="D70" s="9"/>
    </row>
    <row r="71" spans="1:4" x14ac:dyDescent="0.3">
      <c r="A71" s="5" t="s">
        <v>106</v>
      </c>
      <c r="B71" s="11" t="e" vm="4">
        <f ca="1">INDEX(Kokoparametrit!$E$2:$X$1000,MATCH(Tiedot!$B$10,Kokoparametrit!$D$2:$D$1000,0),MATCH($A71,Kokoparametrit!$E$1:$X$1,0))</f>
        <v>#VALUE!</v>
      </c>
      <c r="C71" s="6"/>
      <c r="D71" s="6"/>
    </row>
    <row r="72" spans="1:4" x14ac:dyDescent="0.3">
      <c r="A72" s="8" t="s">
        <v>107</v>
      </c>
      <c r="B72" s="12" t="e" vm="4">
        <f ca="1">INDEX(Kokoparametrit!$E$2:$X$1000,MATCH(Tiedot!$B$10,Kokoparametrit!$D$2:$D$1000,0),MATCH($A72,Kokoparametrit!$E$1:$X$1,0))</f>
        <v>#VALUE!</v>
      </c>
      <c r="C72" s="9"/>
      <c r="D72" s="9"/>
    </row>
    <row r="73" spans="1:4" x14ac:dyDescent="0.3">
      <c r="A73" s="5" t="s">
        <v>108</v>
      </c>
      <c r="B73" s="11" t="e" vm="4">
        <f ca="1">INDEX(Kokoparametrit!$E$2:$X$1000,MATCH(Tiedot!$B$10,Kokoparametrit!$D$2:$D$1000,0),MATCH($A73,Kokoparametrit!$E$1:$X$1,0))</f>
        <v>#VALUE!</v>
      </c>
      <c r="C73" s="6"/>
      <c r="D73" s="6"/>
    </row>
    <row r="74" spans="1:4" x14ac:dyDescent="0.3">
      <c r="A74" s="8" t="s">
        <v>406</v>
      </c>
      <c r="B74" s="12" t="e" vm="4">
        <f ca="1">INDEX(Kokoparametrit!$E$2:$X$1000,MATCH(Tiedot!$B$10,Kokoparametrit!$D$2:$D$1000,0),MATCH($A74,Kokoparametrit!$E$1:$X$1,0))</f>
        <v>#VALUE!</v>
      </c>
      <c r="C74" s="9"/>
      <c r="D74" s="9"/>
    </row>
    <row r="75" spans="1:4" x14ac:dyDescent="0.3">
      <c r="A75" s="5" t="s">
        <v>186</v>
      </c>
      <c r="B75" s="11" t="e" vm="4">
        <f ca="1">INDEX(Kokoparametrit!$E$2:$X$1000,MATCH(Tiedot!$B$10,Kokoparametrit!$D$2:$D$1000,0),MATCH($A75,Kokoparametrit!$E$1:$X$1,0))</f>
        <v>#VALUE!</v>
      </c>
      <c r="C75" s="6"/>
      <c r="D75" s="6"/>
    </row>
    <row r="76" spans="1:4" x14ac:dyDescent="0.3">
      <c r="A76" s="8" t="s">
        <v>183</v>
      </c>
      <c r="B76" s="12" t="e" vm="4">
        <f ca="1">INDEX(Kokoparametrit!$E$2:$X$1000,MATCH(Tiedot!$B$10,Kokoparametrit!$D$2:$D$1000,0),MATCH($A76,Kokoparametrit!$E$1:$X$1,0))</f>
        <v>#VALUE!</v>
      </c>
      <c r="C76" s="9"/>
      <c r="D76" s="9"/>
    </row>
    <row r="77" spans="1:4" x14ac:dyDescent="0.3">
      <c r="A77" s="5" t="s">
        <v>184</v>
      </c>
      <c r="B77" s="11" t="e" vm="4">
        <f ca="1">INDEX(Kokoparametrit!$E$2:$X$1000,MATCH(Tiedot!$B$10,Kokoparametrit!$D$2:$D$1000,0),MATCH($A77,Kokoparametrit!$E$1:$X$1,0))</f>
        <v>#VALUE!</v>
      </c>
      <c r="C77" s="6"/>
      <c r="D77" s="6"/>
    </row>
    <row r="78" spans="1:4" x14ac:dyDescent="0.3">
      <c r="A78" s="8" t="s">
        <v>335</v>
      </c>
      <c r="B78" s="12">
        <f>SUM($C$33:$C$37)+2</f>
        <v>2</v>
      </c>
      <c r="C78" s="9"/>
      <c r="D78" s="9"/>
    </row>
    <row r="79" spans="1:4" x14ac:dyDescent="0.3">
      <c r="A79" s="5" t="s">
        <v>336</v>
      </c>
      <c r="B79" s="72">
        <f>MIN(CEILING($D$40/100,1),3)</f>
        <v>0</v>
      </c>
      <c r="C79" s="6"/>
      <c r="D79" s="6"/>
    </row>
    <row r="80" spans="1:4" x14ac:dyDescent="0.3">
      <c r="A80" s="8" t="s">
        <v>337</v>
      </c>
      <c r="B80" s="12" t="b">
        <f>IF($B$9=1,1060,IF($B$9=2,1420,IF($B$9&gt;2,1580)))</f>
        <v>0</v>
      </c>
      <c r="C80" s="9"/>
      <c r="D80" s="9"/>
    </row>
    <row r="81" spans="1:4" x14ac:dyDescent="0.3">
      <c r="A81" s="5" t="s">
        <v>401</v>
      </c>
      <c r="B81" s="11" t="e" vm="4">
        <f ca="1">INDEX(Kokoparametrit!$E$2:$X$1000,MATCH(Tiedot!$B$10,Kokoparametrit!$D$2:$D$1000,0),MATCH($A81,Kokoparametrit!$E$1:$X$1,0))</f>
        <v>#VALUE!</v>
      </c>
      <c r="C81" s="6"/>
      <c r="D81" s="6"/>
    </row>
    <row r="82" spans="1:4" x14ac:dyDescent="0.3">
      <c r="A82" s="8" t="s">
        <v>402</v>
      </c>
      <c r="B82" s="12" t="e" vm="4">
        <f ca="1">INDEX(Kokoparametrit!$E$2:$X$1000,MATCH(Tiedot!$B$10,Kokoparametrit!$D$2:$D$1000,0),MATCH($A82,Kokoparametrit!$E$1:$X$1,0))</f>
        <v>#VALUE!</v>
      </c>
      <c r="C82" s="9"/>
      <c r="D82" s="9"/>
    </row>
    <row r="83" spans="1:4" x14ac:dyDescent="0.3">
      <c r="A83" s="5" t="s">
        <v>403</v>
      </c>
      <c r="B83" s="11" t="e" vm="4">
        <f ca="1">INDEX(Kokoparametrit!$E$2:$X$1000,MATCH(Tiedot!$B$10,Kokoparametrit!$D$2:$D$1000,0),MATCH($A83,Kokoparametrit!$E$1:$X$1,0))</f>
        <v>#VALUE!</v>
      </c>
      <c r="C83" s="6"/>
      <c r="D83" s="6"/>
    </row>
    <row r="87" spans="1:4" x14ac:dyDescent="0.3">
      <c r="A87" s="2" t="s">
        <v>189</v>
      </c>
      <c r="B87" s="1" t="s">
        <v>32</v>
      </c>
    </row>
    <row r="88" spans="1:4" x14ac:dyDescent="0.3">
      <c r="A88" s="5" t="s">
        <v>6</v>
      </c>
      <c r="B88" s="65" t="e" vm="4">
        <f ca="1">Materiaalilaskenta!B138/1000</f>
        <v>#VALUE!</v>
      </c>
    </row>
    <row r="89" spans="1:4" x14ac:dyDescent="0.3">
      <c r="A89" s="8" t="s">
        <v>70</v>
      </c>
      <c r="B89" s="71" t="e" vm="4">
        <f ca="1">Materiaalilaskenta!B139/1000</f>
        <v>#VALUE!</v>
      </c>
    </row>
    <row r="90" spans="1:4" x14ac:dyDescent="0.3">
      <c r="A90" s="5" t="s">
        <v>82</v>
      </c>
      <c r="B90" s="65" t="e" vm="4">
        <f ca="1">Materiaalilaskenta!B140/1000</f>
        <v>#VALUE!</v>
      </c>
    </row>
    <row r="91" spans="1:4" x14ac:dyDescent="0.3">
      <c r="A91" s="8" t="s">
        <v>77</v>
      </c>
      <c r="B91" s="71">
        <f>Materiaalilaskenta!B141/1000</f>
        <v>0</v>
      </c>
    </row>
    <row r="92" spans="1:4" x14ac:dyDescent="0.3">
      <c r="A92" s="5" t="s">
        <v>83</v>
      </c>
      <c r="B92" s="65">
        <f>Materiaalilaskenta!B142/1000</f>
        <v>0</v>
      </c>
    </row>
    <row r="93" spans="1:4" x14ac:dyDescent="0.3">
      <c r="A93" s="8" t="s">
        <v>84</v>
      </c>
      <c r="B93" s="71" t="e" vm="4">
        <f ca="1">Materiaalilaskenta!B143/1000</f>
        <v>#VALUE!</v>
      </c>
    </row>
    <row r="94" spans="1:4" x14ac:dyDescent="0.3">
      <c r="A94" s="5" t="s">
        <v>85</v>
      </c>
      <c r="B94" s="65" t="e" vm="4">
        <f ca="1">Materiaalilaskenta!B144/1000</f>
        <v>#VALUE!</v>
      </c>
    </row>
    <row r="95" spans="1:4" x14ac:dyDescent="0.3">
      <c r="A95" s="8" t="s">
        <v>78</v>
      </c>
      <c r="B95" s="71" t="e" vm="4">
        <f ca="1">Materiaalilaskenta!B145/1000</f>
        <v>#VALUE!</v>
      </c>
    </row>
    <row r="96" spans="1:4" x14ac:dyDescent="0.3">
      <c r="A96" s="5" t="s">
        <v>72</v>
      </c>
      <c r="B96" s="65" t="e" vm="4">
        <f ca="1">Materiaalilaskenta!B146/1000</f>
        <v>#VALUE!</v>
      </c>
    </row>
    <row r="97" spans="1:2" x14ac:dyDescent="0.3">
      <c r="A97" s="8" t="s">
        <v>139</v>
      </c>
      <c r="B97" s="71" t="e" vm="4">
        <f ca="1">Materiaalilaskenta!B147/1000</f>
        <v>#VALUE!</v>
      </c>
    </row>
    <row r="98" spans="1:2" x14ac:dyDescent="0.3">
      <c r="A98" s="5" t="s">
        <v>79</v>
      </c>
      <c r="B98" s="65" t="e" vm="4">
        <f ca="1">Materiaalilaskenta!B148/1000</f>
        <v>#VALUE!</v>
      </c>
    </row>
    <row r="99" spans="1:2" x14ac:dyDescent="0.3">
      <c r="A99" s="8" t="s">
        <v>86</v>
      </c>
      <c r="B99" s="71">
        <f>Materiaalilaskenta!B149/1000</f>
        <v>0</v>
      </c>
    </row>
    <row r="100" spans="1:2" x14ac:dyDescent="0.3">
      <c r="A100" s="5" t="s">
        <v>87</v>
      </c>
      <c r="B100" s="65" t="e" vm="4">
        <f ca="1">Materiaalilaskenta!B150/1000</f>
        <v>#VALUE!</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1194-86B2-4C8B-BA95-CC2305645266}">
  <sheetPr codeName="Sheet41"/>
  <dimension ref="A1:W353"/>
  <sheetViews>
    <sheetView workbookViewId="0">
      <selection activeCell="BX9" sqref="BX9:CA10"/>
    </sheetView>
  </sheetViews>
  <sheetFormatPr defaultRowHeight="14.4" x14ac:dyDescent="0.3"/>
  <cols>
    <col min="1" max="1" width="10" bestFit="1" customWidth="1"/>
    <col min="2" max="2" width="10.5546875" bestFit="1" customWidth="1"/>
    <col min="3" max="3" width="10" bestFit="1" customWidth="1"/>
    <col min="4" max="4" width="15.6640625" bestFit="1" customWidth="1"/>
    <col min="5" max="16" width="10.33203125" customWidth="1"/>
  </cols>
  <sheetData>
    <row r="1" spans="1:23" s="54" customFormat="1" ht="28.8" x14ac:dyDescent="0.3">
      <c r="A1" s="51" t="s">
        <v>17</v>
      </c>
      <c r="B1" s="52" t="s">
        <v>98</v>
      </c>
      <c r="C1" s="52" t="s">
        <v>99</v>
      </c>
      <c r="D1" s="52" t="s">
        <v>404</v>
      </c>
      <c r="E1" s="53" t="s">
        <v>100</v>
      </c>
      <c r="F1" s="53" t="s">
        <v>101</v>
      </c>
      <c r="G1" s="53" t="s">
        <v>405</v>
      </c>
      <c r="H1" s="53" t="s">
        <v>102</v>
      </c>
      <c r="I1" s="53" t="s">
        <v>18</v>
      </c>
      <c r="J1" s="53" t="s">
        <v>19</v>
      </c>
      <c r="K1" s="53" t="s">
        <v>406</v>
      </c>
      <c r="L1" s="53" t="s">
        <v>103</v>
      </c>
      <c r="M1" s="53" t="s">
        <v>104</v>
      </c>
      <c r="N1" s="53" t="s">
        <v>403</v>
      </c>
      <c r="O1" s="53" t="s">
        <v>105</v>
      </c>
      <c r="P1" s="53" t="s">
        <v>106</v>
      </c>
      <c r="Q1" s="53" t="s">
        <v>407</v>
      </c>
      <c r="R1" s="53" t="s">
        <v>107</v>
      </c>
      <c r="S1" s="53" t="s">
        <v>108</v>
      </c>
      <c r="T1" s="53" t="s">
        <v>402</v>
      </c>
      <c r="U1" s="53" t="s">
        <v>181</v>
      </c>
      <c r="V1" s="53" t="s">
        <v>182</v>
      </c>
      <c r="W1" s="53" t="s">
        <v>185</v>
      </c>
    </row>
    <row r="2" spans="1:23" x14ac:dyDescent="0.3">
      <c r="A2" s="4">
        <v>11</v>
      </c>
      <c r="B2" s="5">
        <v>-1920</v>
      </c>
      <c r="C2" s="5">
        <v>1</v>
      </c>
      <c r="D2" s="5" t="str">
        <f>CONCATENATE(A2,",",B2,",",C2)</f>
        <v>11,-1920,1</v>
      </c>
      <c r="E2" s="6">
        <v>0.94</v>
      </c>
      <c r="F2" s="6">
        <v>0</v>
      </c>
      <c r="G2" s="6">
        <v>0.59399999999999997</v>
      </c>
      <c r="H2" s="6">
        <v>2.6</v>
      </c>
      <c r="I2" s="6">
        <v>3.2</v>
      </c>
      <c r="J2" s="6">
        <v>-13.9</v>
      </c>
      <c r="K2" s="6">
        <v>5.1999999999999998E-2</v>
      </c>
      <c r="L2" s="6">
        <v>5.12</v>
      </c>
      <c r="M2" s="6">
        <v>-6.2</v>
      </c>
      <c r="N2" s="6">
        <v>4.01</v>
      </c>
      <c r="O2" s="6">
        <v>0</v>
      </c>
      <c r="P2" s="6">
        <v>0</v>
      </c>
      <c r="Q2" s="6">
        <v>0</v>
      </c>
      <c r="R2" s="6">
        <v>2.4700000000000002</v>
      </c>
      <c r="S2" s="6">
        <v>-20.2</v>
      </c>
      <c r="T2" s="6">
        <v>1.58</v>
      </c>
      <c r="U2" s="6">
        <v>2.2100000000000002E-2</v>
      </c>
      <c r="V2" s="6">
        <v>6.2</v>
      </c>
      <c r="W2" s="6">
        <v>0.219</v>
      </c>
    </row>
    <row r="3" spans="1:23" x14ac:dyDescent="0.3">
      <c r="A3" s="7">
        <v>11</v>
      </c>
      <c r="B3" s="8" t="s">
        <v>111</v>
      </c>
      <c r="C3" s="8">
        <v>1</v>
      </c>
      <c r="D3" s="8" t="str">
        <f t="shared" ref="D3:D66" si="0">CONCATENATE(A3,",",B3,",",C3)</f>
        <v>11,1920-1925,1</v>
      </c>
      <c r="E3" s="9">
        <v>0.94</v>
      </c>
      <c r="F3" s="9">
        <v>0</v>
      </c>
      <c r="G3" s="9">
        <v>0.59399999999999997</v>
      </c>
      <c r="H3" s="9">
        <v>2.8</v>
      </c>
      <c r="I3" s="9">
        <v>1.5</v>
      </c>
      <c r="J3" s="9">
        <v>153.80000000000001</v>
      </c>
      <c r="K3" s="9">
        <v>5.1999999999999998E-2</v>
      </c>
      <c r="L3" s="9">
        <v>5.26</v>
      </c>
      <c r="M3" s="9">
        <v>-8.0399999999999991</v>
      </c>
      <c r="N3" s="9">
        <v>4.01</v>
      </c>
      <c r="O3" s="9">
        <v>0</v>
      </c>
      <c r="P3" s="9">
        <v>0</v>
      </c>
      <c r="Q3" s="9">
        <v>0</v>
      </c>
      <c r="R3" s="9">
        <v>2.4</v>
      </c>
      <c r="S3" s="9">
        <v>-18.100000000000001</v>
      </c>
      <c r="T3" s="9">
        <v>1.63</v>
      </c>
      <c r="U3" s="9">
        <v>2.5399999999999999E-2</v>
      </c>
      <c r="V3" s="9">
        <v>6.1</v>
      </c>
      <c r="W3" s="9">
        <v>0.219</v>
      </c>
    </row>
    <row r="4" spans="1:23" x14ac:dyDescent="0.3">
      <c r="A4" s="4">
        <v>11</v>
      </c>
      <c r="B4" s="5" t="s">
        <v>112</v>
      </c>
      <c r="C4" s="5">
        <v>1</v>
      </c>
      <c r="D4" s="5" t="str">
        <f t="shared" si="0"/>
        <v>11,1925-1930,1</v>
      </c>
      <c r="E4" s="6">
        <v>0.94</v>
      </c>
      <c r="F4" s="6">
        <v>0</v>
      </c>
      <c r="G4" s="6">
        <v>0.59399999999999997</v>
      </c>
      <c r="H4" s="6">
        <v>2.7</v>
      </c>
      <c r="I4" s="6">
        <v>3.2</v>
      </c>
      <c r="J4" s="6">
        <v>-10.9</v>
      </c>
      <c r="K4" s="6">
        <v>5.1999999999999998E-2</v>
      </c>
      <c r="L4" s="6">
        <v>4.84</v>
      </c>
      <c r="M4" s="6">
        <v>-4.1900000000000004</v>
      </c>
      <c r="N4" s="6">
        <v>4.0199999999999996</v>
      </c>
      <c r="O4" s="6">
        <v>0</v>
      </c>
      <c r="P4" s="6">
        <v>0</v>
      </c>
      <c r="Q4" s="6">
        <v>0</v>
      </c>
      <c r="R4" s="6">
        <v>2.4</v>
      </c>
      <c r="S4" s="6">
        <v>-15.9</v>
      </c>
      <c r="T4" s="6">
        <v>1.63</v>
      </c>
      <c r="U4" s="6">
        <v>1.9800000000000002E-2</v>
      </c>
      <c r="V4" s="6">
        <v>6.7</v>
      </c>
      <c r="W4" s="6">
        <v>0.219</v>
      </c>
    </row>
    <row r="5" spans="1:23" x14ac:dyDescent="0.3">
      <c r="A5" s="7">
        <v>11</v>
      </c>
      <c r="B5" s="8" t="s">
        <v>113</v>
      </c>
      <c r="C5" s="8">
        <v>1</v>
      </c>
      <c r="D5" s="8" t="str">
        <f t="shared" si="0"/>
        <v>11,1930-1935,1</v>
      </c>
      <c r="E5" s="9">
        <v>0.94</v>
      </c>
      <c r="F5" s="9">
        <v>0</v>
      </c>
      <c r="G5" s="9">
        <v>0.59399999999999997</v>
      </c>
      <c r="H5" s="9">
        <v>2.7</v>
      </c>
      <c r="I5" s="9">
        <v>3</v>
      </c>
      <c r="J5" s="9">
        <v>-2.5</v>
      </c>
      <c r="K5" s="9">
        <v>5.1999999999999998E-2</v>
      </c>
      <c r="L5" s="9">
        <v>4.97</v>
      </c>
      <c r="M5" s="9">
        <v>-5.08</v>
      </c>
      <c r="N5" s="9">
        <v>4.01</v>
      </c>
      <c r="O5" s="9">
        <v>0</v>
      </c>
      <c r="P5" s="9">
        <v>0</v>
      </c>
      <c r="Q5" s="9">
        <v>0</v>
      </c>
      <c r="R5" s="9">
        <v>2.23</v>
      </c>
      <c r="S5" s="9">
        <v>-6.63</v>
      </c>
      <c r="T5" s="9">
        <v>1.62</v>
      </c>
      <c r="U5" s="9">
        <v>3.1800000000000002E-2</v>
      </c>
      <c r="V5" s="9">
        <v>5.8</v>
      </c>
      <c r="W5" s="9">
        <v>0.219</v>
      </c>
    </row>
    <row r="6" spans="1:23" x14ac:dyDescent="0.3">
      <c r="A6" s="4">
        <v>11</v>
      </c>
      <c r="B6" s="5" t="s">
        <v>114</v>
      </c>
      <c r="C6" s="5">
        <v>1</v>
      </c>
      <c r="D6" s="5" t="str">
        <f t="shared" si="0"/>
        <v>11,1935-1940,1</v>
      </c>
      <c r="E6" s="6">
        <v>0.94</v>
      </c>
      <c r="F6" s="6">
        <v>0</v>
      </c>
      <c r="G6" s="6">
        <v>0.59399999999999997</v>
      </c>
      <c r="H6" s="6">
        <v>2.7</v>
      </c>
      <c r="I6" s="6">
        <v>3.1</v>
      </c>
      <c r="J6" s="6">
        <v>-3.2</v>
      </c>
      <c r="K6" s="6">
        <v>5.1999999999999998E-2</v>
      </c>
      <c r="L6" s="6">
        <v>5.18</v>
      </c>
      <c r="M6" s="6">
        <v>-7.42</v>
      </c>
      <c r="N6" s="6">
        <v>4</v>
      </c>
      <c r="O6" s="6">
        <v>0</v>
      </c>
      <c r="P6" s="6">
        <v>0</v>
      </c>
      <c r="Q6" s="6">
        <v>0</v>
      </c>
      <c r="R6" s="6">
        <v>2.37</v>
      </c>
      <c r="S6" s="6">
        <v>-14.2</v>
      </c>
      <c r="T6" s="6">
        <v>1.63</v>
      </c>
      <c r="U6" s="6">
        <v>3.0499999999999999E-2</v>
      </c>
      <c r="V6" s="6">
        <v>5.7</v>
      </c>
      <c r="W6" s="6">
        <v>0.219</v>
      </c>
    </row>
    <row r="7" spans="1:23" x14ac:dyDescent="0.3">
      <c r="A7" s="7">
        <v>11</v>
      </c>
      <c r="B7" s="8" t="s">
        <v>115</v>
      </c>
      <c r="C7" s="8">
        <v>1</v>
      </c>
      <c r="D7" s="8" t="str">
        <f t="shared" si="0"/>
        <v>11,1940-1945,1</v>
      </c>
      <c r="E7" s="9">
        <v>0.94</v>
      </c>
      <c r="F7" s="9">
        <v>0</v>
      </c>
      <c r="G7" s="9">
        <v>0.59399999999999997</v>
      </c>
      <c r="H7" s="9">
        <v>2.7</v>
      </c>
      <c r="I7" s="9">
        <v>3.1</v>
      </c>
      <c r="J7" s="9">
        <v>0</v>
      </c>
      <c r="K7" s="9">
        <v>5.1999999999999998E-2</v>
      </c>
      <c r="L7" s="9">
        <v>5.77</v>
      </c>
      <c r="M7" s="9">
        <v>-12.6</v>
      </c>
      <c r="N7" s="9">
        <v>4.0199999999999996</v>
      </c>
      <c r="O7" s="9">
        <v>0</v>
      </c>
      <c r="P7" s="9">
        <v>0</v>
      </c>
      <c r="Q7" s="9">
        <v>0</v>
      </c>
      <c r="R7" s="9">
        <v>2.2000000000000002</v>
      </c>
      <c r="S7" s="9">
        <v>-2.97</v>
      </c>
      <c r="T7" s="9">
        <v>1.64</v>
      </c>
      <c r="U7" s="9">
        <v>3.5799999999999998E-2</v>
      </c>
      <c r="V7" s="9">
        <v>4.8</v>
      </c>
      <c r="W7" s="9">
        <v>0.219</v>
      </c>
    </row>
    <row r="8" spans="1:23" x14ac:dyDescent="0.3">
      <c r="A8" s="4">
        <v>11</v>
      </c>
      <c r="B8" s="5" t="s">
        <v>116</v>
      </c>
      <c r="C8" s="5">
        <v>1</v>
      </c>
      <c r="D8" s="5" t="str">
        <f t="shared" si="0"/>
        <v>11,1945-1950,1</v>
      </c>
      <c r="E8" s="6">
        <v>0.94</v>
      </c>
      <c r="F8" s="6">
        <v>0</v>
      </c>
      <c r="G8" s="6">
        <v>0.59399999999999997</v>
      </c>
      <c r="H8" s="6">
        <v>2.7</v>
      </c>
      <c r="I8" s="6">
        <v>3</v>
      </c>
      <c r="J8" s="6">
        <v>0.6</v>
      </c>
      <c r="K8" s="6">
        <v>5.1999999999999998E-2</v>
      </c>
      <c r="L8" s="6">
        <v>5.57</v>
      </c>
      <c r="M8" s="6">
        <v>-10.8</v>
      </c>
      <c r="N8" s="6">
        <v>4</v>
      </c>
      <c r="O8" s="6">
        <v>0</v>
      </c>
      <c r="P8" s="6">
        <v>0</v>
      </c>
      <c r="Q8" s="6">
        <v>0</v>
      </c>
      <c r="R8" s="6">
        <v>2.3199999999999998</v>
      </c>
      <c r="S8" s="6">
        <v>-9.2799999999999994</v>
      </c>
      <c r="T8" s="6">
        <v>1.64</v>
      </c>
      <c r="U8" s="6">
        <v>3.3599999999999998E-2</v>
      </c>
      <c r="V8" s="6">
        <v>5</v>
      </c>
      <c r="W8" s="6">
        <v>0.219</v>
      </c>
    </row>
    <row r="9" spans="1:23" x14ac:dyDescent="0.3">
      <c r="A9" s="7">
        <v>11</v>
      </c>
      <c r="B9" s="8" t="s">
        <v>117</v>
      </c>
      <c r="C9" s="8">
        <v>1</v>
      </c>
      <c r="D9" s="8" t="str">
        <f t="shared" si="0"/>
        <v>11,1950-1955,1</v>
      </c>
      <c r="E9" s="9">
        <v>0.94</v>
      </c>
      <c r="F9" s="9">
        <v>0</v>
      </c>
      <c r="G9" s="9">
        <v>0.59399999999999997</v>
      </c>
      <c r="H9" s="9">
        <v>2.7</v>
      </c>
      <c r="I9" s="9">
        <v>3.1</v>
      </c>
      <c r="J9" s="9">
        <v>-4.5999999999999996</v>
      </c>
      <c r="K9" s="9">
        <v>5.1999999999999998E-2</v>
      </c>
      <c r="L9" s="9">
        <v>5.94</v>
      </c>
      <c r="M9" s="9">
        <v>-14.4</v>
      </c>
      <c r="N9" s="9">
        <v>4.0199999999999996</v>
      </c>
      <c r="O9" s="9">
        <v>0</v>
      </c>
      <c r="P9" s="9">
        <v>0</v>
      </c>
      <c r="Q9" s="9">
        <v>0</v>
      </c>
      <c r="R9" s="9">
        <v>2.4300000000000002</v>
      </c>
      <c r="S9" s="9">
        <v>-15.2</v>
      </c>
      <c r="T9" s="9">
        <v>1.66</v>
      </c>
      <c r="U9" s="9">
        <v>3.3700000000000001E-2</v>
      </c>
      <c r="V9" s="9">
        <v>5.0999999999999996</v>
      </c>
      <c r="W9" s="9">
        <v>0.219</v>
      </c>
    </row>
    <row r="10" spans="1:23" x14ac:dyDescent="0.3">
      <c r="A10" s="4">
        <v>11</v>
      </c>
      <c r="B10" s="5" t="s">
        <v>118</v>
      </c>
      <c r="C10" s="5">
        <v>1</v>
      </c>
      <c r="D10" s="5" t="str">
        <f t="shared" si="0"/>
        <v>11,1955-1960,1</v>
      </c>
      <c r="E10" s="6">
        <v>0.94</v>
      </c>
      <c r="F10" s="6">
        <v>0</v>
      </c>
      <c r="G10" s="6">
        <v>0.59399999999999997</v>
      </c>
      <c r="H10" s="6">
        <v>2.8</v>
      </c>
      <c r="I10" s="6">
        <v>3.1</v>
      </c>
      <c r="J10" s="6">
        <v>-0.7</v>
      </c>
      <c r="K10" s="6">
        <v>5.1999999999999998E-2</v>
      </c>
      <c r="L10" s="6">
        <v>5.79</v>
      </c>
      <c r="M10" s="6">
        <v>-13.3</v>
      </c>
      <c r="N10" s="6">
        <v>4.01</v>
      </c>
      <c r="O10" s="6">
        <v>0</v>
      </c>
      <c r="P10" s="6">
        <v>0</v>
      </c>
      <c r="Q10" s="6">
        <v>0</v>
      </c>
      <c r="R10" s="6">
        <v>2.2799999999999998</v>
      </c>
      <c r="S10" s="6">
        <v>-4.87</v>
      </c>
      <c r="T10" s="6">
        <v>1.66</v>
      </c>
      <c r="U10" s="6">
        <v>2.92E-2</v>
      </c>
      <c r="V10" s="6">
        <v>5.0999999999999996</v>
      </c>
      <c r="W10" s="6">
        <v>0.219</v>
      </c>
    </row>
    <row r="11" spans="1:23" x14ac:dyDescent="0.3">
      <c r="A11" s="7">
        <v>11</v>
      </c>
      <c r="B11" s="8" t="s">
        <v>119</v>
      </c>
      <c r="C11" s="8">
        <v>1</v>
      </c>
      <c r="D11" s="8" t="str">
        <f t="shared" si="0"/>
        <v>11,1960-1965,1</v>
      </c>
      <c r="E11" s="9">
        <v>0.94</v>
      </c>
      <c r="F11" s="9">
        <v>0</v>
      </c>
      <c r="G11" s="9">
        <v>0.59399999999999997</v>
      </c>
      <c r="H11" s="9">
        <v>2.8</v>
      </c>
      <c r="I11" s="9">
        <v>3</v>
      </c>
      <c r="J11" s="9">
        <v>3.8</v>
      </c>
      <c r="K11" s="9">
        <v>5.1999999999999998E-2</v>
      </c>
      <c r="L11" s="9">
        <v>6.24</v>
      </c>
      <c r="M11" s="9">
        <v>-18.2</v>
      </c>
      <c r="N11" s="9">
        <v>4.0199999999999996</v>
      </c>
      <c r="O11" s="9">
        <v>0</v>
      </c>
      <c r="P11" s="9">
        <v>0</v>
      </c>
      <c r="Q11" s="9">
        <v>0</v>
      </c>
      <c r="R11" s="9">
        <v>2.42</v>
      </c>
      <c r="S11" s="9">
        <v>-13.7</v>
      </c>
      <c r="T11" s="9">
        <v>1.67</v>
      </c>
      <c r="U11" s="9">
        <v>3.2199999999999999E-2</v>
      </c>
      <c r="V11" s="9">
        <v>4.5999999999999996</v>
      </c>
      <c r="W11" s="9">
        <v>0.219</v>
      </c>
    </row>
    <row r="12" spans="1:23" x14ac:dyDescent="0.3">
      <c r="A12" s="4">
        <v>11</v>
      </c>
      <c r="B12" s="5" t="s">
        <v>120</v>
      </c>
      <c r="C12" s="5">
        <v>1</v>
      </c>
      <c r="D12" s="5" t="str">
        <f t="shared" si="0"/>
        <v>11,1965-1970,1</v>
      </c>
      <c r="E12" s="6">
        <v>0.94</v>
      </c>
      <c r="F12" s="6">
        <v>0</v>
      </c>
      <c r="G12" s="6">
        <v>0.59399999999999997</v>
      </c>
      <c r="H12" s="6">
        <v>2.8</v>
      </c>
      <c r="I12" s="6">
        <v>3</v>
      </c>
      <c r="J12" s="6">
        <v>4.8</v>
      </c>
      <c r="K12" s="6">
        <v>5.1999999999999998E-2</v>
      </c>
      <c r="L12" s="6">
        <v>6.72</v>
      </c>
      <c r="M12" s="6">
        <v>-24</v>
      </c>
      <c r="N12" s="6">
        <v>4.03</v>
      </c>
      <c r="O12" s="6">
        <v>0</v>
      </c>
      <c r="P12" s="6">
        <v>0</v>
      </c>
      <c r="Q12" s="6">
        <v>0</v>
      </c>
      <c r="R12" s="6">
        <v>2.34</v>
      </c>
      <c r="S12" s="6">
        <v>-12.7</v>
      </c>
      <c r="T12" s="6">
        <v>1.67</v>
      </c>
      <c r="U12" s="6">
        <v>2.7799999999999998E-2</v>
      </c>
      <c r="V12" s="6">
        <v>4.7</v>
      </c>
      <c r="W12" s="6">
        <v>0.219</v>
      </c>
    </row>
    <row r="13" spans="1:23" x14ac:dyDescent="0.3">
      <c r="A13" s="7">
        <v>11</v>
      </c>
      <c r="B13" s="8" t="s">
        <v>121</v>
      </c>
      <c r="C13" s="8">
        <v>1</v>
      </c>
      <c r="D13" s="8" t="str">
        <f t="shared" si="0"/>
        <v>11,1970-1975,1</v>
      </c>
      <c r="E13" s="9">
        <v>0.94</v>
      </c>
      <c r="F13" s="9">
        <v>0</v>
      </c>
      <c r="G13" s="9">
        <v>0.59399999999999997</v>
      </c>
      <c r="H13" s="9">
        <v>2.7</v>
      </c>
      <c r="I13" s="9">
        <v>3</v>
      </c>
      <c r="J13" s="9">
        <v>1.3</v>
      </c>
      <c r="K13" s="9">
        <v>5.1999999999999998E-2</v>
      </c>
      <c r="L13" s="9">
        <v>6.59</v>
      </c>
      <c r="M13" s="9">
        <v>-22.9</v>
      </c>
      <c r="N13" s="9">
        <v>4.05</v>
      </c>
      <c r="O13" s="9">
        <v>0</v>
      </c>
      <c r="P13" s="9">
        <v>0</v>
      </c>
      <c r="Q13" s="9">
        <v>0</v>
      </c>
      <c r="R13" s="9">
        <v>2.36</v>
      </c>
      <c r="S13" s="9">
        <v>-19.3</v>
      </c>
      <c r="T13" s="9">
        <v>1.68</v>
      </c>
      <c r="U13" s="9">
        <v>3.0599999999999999E-2</v>
      </c>
      <c r="V13" s="9">
        <v>4.0999999999999996</v>
      </c>
      <c r="W13" s="9">
        <v>0.219</v>
      </c>
    </row>
    <row r="14" spans="1:23" x14ac:dyDescent="0.3">
      <c r="A14" s="4">
        <v>11</v>
      </c>
      <c r="B14" s="5" t="s">
        <v>122</v>
      </c>
      <c r="C14" s="5">
        <v>1</v>
      </c>
      <c r="D14" s="5" t="str">
        <f t="shared" si="0"/>
        <v>11,1975-1980,1</v>
      </c>
      <c r="E14" s="6">
        <v>0.94</v>
      </c>
      <c r="F14" s="6">
        <v>0</v>
      </c>
      <c r="G14" s="6">
        <v>0.59399999999999997</v>
      </c>
      <c r="H14" s="6">
        <v>2.8</v>
      </c>
      <c r="I14" s="6">
        <v>2.9</v>
      </c>
      <c r="J14" s="6">
        <v>14.1</v>
      </c>
      <c r="K14" s="6">
        <v>5.1999999999999998E-2</v>
      </c>
      <c r="L14" s="6">
        <v>6.42</v>
      </c>
      <c r="M14" s="6">
        <v>-21.1</v>
      </c>
      <c r="N14" s="6">
        <v>4.01</v>
      </c>
      <c r="O14" s="6">
        <v>0</v>
      </c>
      <c r="P14" s="6">
        <v>0</v>
      </c>
      <c r="Q14" s="6">
        <v>0</v>
      </c>
      <c r="R14" s="6">
        <v>2.34</v>
      </c>
      <c r="S14" s="6">
        <v>-17.7</v>
      </c>
      <c r="T14" s="6">
        <v>1.67</v>
      </c>
      <c r="U14" s="6">
        <v>3.39E-2</v>
      </c>
      <c r="V14" s="6">
        <v>3.6</v>
      </c>
      <c r="W14" s="6">
        <v>0.219</v>
      </c>
    </row>
    <row r="15" spans="1:23" x14ac:dyDescent="0.3">
      <c r="A15" s="7">
        <v>11</v>
      </c>
      <c r="B15" s="8" t="s">
        <v>123</v>
      </c>
      <c r="C15" s="8">
        <v>1</v>
      </c>
      <c r="D15" s="8" t="str">
        <f t="shared" si="0"/>
        <v>11,1980-1985,1</v>
      </c>
      <c r="E15" s="9">
        <v>0.94</v>
      </c>
      <c r="F15" s="9">
        <v>0</v>
      </c>
      <c r="G15" s="9">
        <v>0.59399999999999997</v>
      </c>
      <c r="H15" s="9">
        <v>2.5</v>
      </c>
      <c r="I15" s="9">
        <v>3</v>
      </c>
      <c r="J15" s="9">
        <v>17.600000000000001</v>
      </c>
      <c r="K15" s="9">
        <v>5.1999999999999998E-2</v>
      </c>
      <c r="L15" s="9">
        <v>6.15</v>
      </c>
      <c r="M15" s="9">
        <v>-18.399999999999999</v>
      </c>
      <c r="N15" s="9">
        <v>4.01</v>
      </c>
      <c r="O15" s="9">
        <v>0</v>
      </c>
      <c r="P15" s="9">
        <v>0</v>
      </c>
      <c r="Q15" s="9">
        <v>0</v>
      </c>
      <c r="R15" s="9">
        <v>2.44</v>
      </c>
      <c r="S15" s="9">
        <v>-18.899999999999999</v>
      </c>
      <c r="T15" s="9">
        <v>1.66</v>
      </c>
      <c r="U15" s="9">
        <v>3.0200000000000001E-2</v>
      </c>
      <c r="V15" s="9">
        <v>4.3</v>
      </c>
      <c r="W15" s="9">
        <v>0.219</v>
      </c>
    </row>
    <row r="16" spans="1:23" x14ac:dyDescent="0.3">
      <c r="A16" s="4">
        <v>11</v>
      </c>
      <c r="B16" s="5" t="s">
        <v>124</v>
      </c>
      <c r="C16" s="5">
        <v>1</v>
      </c>
      <c r="D16" s="5" t="str">
        <f t="shared" si="0"/>
        <v>11,1985-1990,1</v>
      </c>
      <c r="E16" s="6">
        <v>0.94</v>
      </c>
      <c r="F16" s="6">
        <v>0</v>
      </c>
      <c r="G16" s="6">
        <v>0.59399999999999997</v>
      </c>
      <c r="H16" s="6">
        <v>2.6</v>
      </c>
      <c r="I16" s="6">
        <v>3.1</v>
      </c>
      <c r="J16" s="6">
        <v>8.3000000000000007</v>
      </c>
      <c r="K16" s="6">
        <v>5.1999999999999998E-2</v>
      </c>
      <c r="L16" s="6">
        <v>6</v>
      </c>
      <c r="M16" s="6">
        <v>-16.899999999999999</v>
      </c>
      <c r="N16" s="6">
        <v>4.0199999999999996</v>
      </c>
      <c r="O16" s="6">
        <v>0</v>
      </c>
      <c r="P16" s="6">
        <v>0</v>
      </c>
      <c r="Q16" s="6">
        <v>0</v>
      </c>
      <c r="R16" s="6">
        <v>2.41</v>
      </c>
      <c r="S16" s="6">
        <v>-18</v>
      </c>
      <c r="T16" s="6">
        <v>1.67</v>
      </c>
      <c r="U16" s="6">
        <v>3.6900000000000002E-2</v>
      </c>
      <c r="V16" s="6">
        <v>4.9000000000000004</v>
      </c>
      <c r="W16" s="6">
        <v>0.219</v>
      </c>
    </row>
    <row r="17" spans="1:23" x14ac:dyDescent="0.3">
      <c r="A17" s="7">
        <v>11</v>
      </c>
      <c r="B17" s="8" t="s">
        <v>125</v>
      </c>
      <c r="C17" s="8">
        <v>1</v>
      </c>
      <c r="D17" s="8" t="str">
        <f t="shared" si="0"/>
        <v>11,1990-1995,1</v>
      </c>
      <c r="E17" s="9">
        <v>0.94</v>
      </c>
      <c r="F17" s="9">
        <v>0</v>
      </c>
      <c r="G17" s="9">
        <v>0.59399999999999997</v>
      </c>
      <c r="H17" s="9">
        <v>2.6</v>
      </c>
      <c r="I17" s="9">
        <v>3.2</v>
      </c>
      <c r="J17" s="9">
        <v>1.1000000000000001</v>
      </c>
      <c r="K17" s="9">
        <v>5.1999999999999998E-2</v>
      </c>
      <c r="L17" s="9">
        <v>6.04</v>
      </c>
      <c r="M17" s="9">
        <v>-17</v>
      </c>
      <c r="N17" s="9">
        <v>4.04</v>
      </c>
      <c r="O17" s="9">
        <v>0</v>
      </c>
      <c r="P17" s="9">
        <v>0</v>
      </c>
      <c r="Q17" s="9">
        <v>0</v>
      </c>
      <c r="R17" s="9">
        <v>2.36</v>
      </c>
      <c r="S17" s="9">
        <v>-15.3</v>
      </c>
      <c r="T17" s="9">
        <v>1.69</v>
      </c>
      <c r="U17" s="9">
        <v>3.6999999999999998E-2</v>
      </c>
      <c r="V17" s="9">
        <v>5.9</v>
      </c>
      <c r="W17" s="9">
        <v>0.219</v>
      </c>
    </row>
    <row r="18" spans="1:23" x14ac:dyDescent="0.3">
      <c r="A18" s="4">
        <v>11</v>
      </c>
      <c r="B18" s="5" t="s">
        <v>126</v>
      </c>
      <c r="C18" s="5">
        <v>1</v>
      </c>
      <c r="D18" s="5" t="str">
        <f t="shared" si="0"/>
        <v>11,1995-2000,1</v>
      </c>
      <c r="E18" s="6">
        <v>0.94</v>
      </c>
      <c r="F18" s="6">
        <v>0</v>
      </c>
      <c r="G18" s="6">
        <v>0.59399999999999997</v>
      </c>
      <c r="H18" s="6">
        <v>2.6</v>
      </c>
      <c r="I18" s="6">
        <v>3.3</v>
      </c>
      <c r="J18" s="6">
        <v>-8.6</v>
      </c>
      <c r="K18" s="6">
        <v>5.1999999999999998E-2</v>
      </c>
      <c r="L18" s="6">
        <v>5.86</v>
      </c>
      <c r="M18" s="6">
        <v>-15.5</v>
      </c>
      <c r="N18" s="6">
        <v>4.05</v>
      </c>
      <c r="O18" s="6">
        <v>0</v>
      </c>
      <c r="P18" s="6">
        <v>0</v>
      </c>
      <c r="Q18" s="6">
        <v>0</v>
      </c>
      <c r="R18" s="6">
        <v>2.4500000000000002</v>
      </c>
      <c r="S18" s="6">
        <v>-19.399999999999999</v>
      </c>
      <c r="T18" s="6">
        <v>1.74</v>
      </c>
      <c r="U18" s="6">
        <v>4.7399999999999998E-2</v>
      </c>
      <c r="V18" s="6">
        <v>4.4000000000000004</v>
      </c>
      <c r="W18" s="6">
        <v>0.219</v>
      </c>
    </row>
    <row r="19" spans="1:23" x14ac:dyDescent="0.3">
      <c r="A19" s="7">
        <v>11</v>
      </c>
      <c r="B19" s="8" t="s">
        <v>127</v>
      </c>
      <c r="C19" s="8">
        <v>1</v>
      </c>
      <c r="D19" s="8" t="str">
        <f t="shared" si="0"/>
        <v>11,2000-2005,1</v>
      </c>
      <c r="E19" s="9">
        <v>0.94</v>
      </c>
      <c r="F19" s="9">
        <v>0</v>
      </c>
      <c r="G19" s="9">
        <v>0.59399999999999997</v>
      </c>
      <c r="H19" s="9">
        <v>2.7</v>
      </c>
      <c r="I19" s="9">
        <v>3.4</v>
      </c>
      <c r="J19" s="9">
        <v>-15.2</v>
      </c>
      <c r="K19" s="9">
        <v>5.1999999999999998E-2</v>
      </c>
      <c r="L19" s="9">
        <v>5.79</v>
      </c>
      <c r="M19" s="9">
        <v>-14.8</v>
      </c>
      <c r="N19" s="9">
        <v>4.04</v>
      </c>
      <c r="O19" s="9">
        <v>0</v>
      </c>
      <c r="P19" s="9">
        <v>0</v>
      </c>
      <c r="Q19" s="9">
        <v>0</v>
      </c>
      <c r="R19" s="9">
        <v>2.4300000000000002</v>
      </c>
      <c r="S19" s="9">
        <v>-13.7</v>
      </c>
      <c r="T19" s="9">
        <v>1.81</v>
      </c>
      <c r="U19" s="9">
        <v>4.3700000000000003E-2</v>
      </c>
      <c r="V19" s="9">
        <v>4.7</v>
      </c>
      <c r="W19" s="9">
        <v>0.219</v>
      </c>
    </row>
    <row r="20" spans="1:23" x14ac:dyDescent="0.3">
      <c r="A20" s="4">
        <v>11</v>
      </c>
      <c r="B20" s="5" t="s">
        <v>128</v>
      </c>
      <c r="C20" s="5">
        <v>1</v>
      </c>
      <c r="D20" s="5" t="str">
        <f t="shared" si="0"/>
        <v>11,2005-2010,1</v>
      </c>
      <c r="E20" s="6">
        <v>0.94</v>
      </c>
      <c r="F20" s="6">
        <v>0</v>
      </c>
      <c r="G20" s="6">
        <v>0.59399999999999997</v>
      </c>
      <c r="H20" s="6">
        <v>2.8</v>
      </c>
      <c r="I20" s="6">
        <v>3.6</v>
      </c>
      <c r="J20" s="6">
        <v>-32.200000000000003</v>
      </c>
      <c r="K20" s="6">
        <v>5.1999999999999998E-2</v>
      </c>
      <c r="L20" s="6">
        <v>5.99</v>
      </c>
      <c r="M20" s="6">
        <v>-16.600000000000001</v>
      </c>
      <c r="N20" s="6">
        <v>4.03</v>
      </c>
      <c r="O20" s="6">
        <v>0</v>
      </c>
      <c r="P20" s="6">
        <v>0</v>
      </c>
      <c r="Q20" s="6">
        <v>0</v>
      </c>
      <c r="R20" s="6">
        <v>2.5</v>
      </c>
      <c r="S20" s="6">
        <v>-16.3</v>
      </c>
      <c r="T20" s="6">
        <v>1.84</v>
      </c>
      <c r="U20" s="6">
        <v>4.3799999999999999E-2</v>
      </c>
      <c r="V20" s="6">
        <v>4.2</v>
      </c>
      <c r="W20" s="6">
        <v>0.219</v>
      </c>
    </row>
    <row r="21" spans="1:23" x14ac:dyDescent="0.3">
      <c r="A21" s="7">
        <v>11</v>
      </c>
      <c r="B21" s="8" t="s">
        <v>129</v>
      </c>
      <c r="C21" s="8">
        <v>1</v>
      </c>
      <c r="D21" s="8" t="str">
        <f t="shared" si="0"/>
        <v>11,2010-2015,1</v>
      </c>
      <c r="E21" s="9">
        <v>0.94</v>
      </c>
      <c r="F21" s="9">
        <v>0</v>
      </c>
      <c r="G21" s="9">
        <v>0.59399999999999997</v>
      </c>
      <c r="H21" s="9">
        <v>2.9</v>
      </c>
      <c r="I21" s="9">
        <v>3.7</v>
      </c>
      <c r="J21" s="9">
        <v>-33.6</v>
      </c>
      <c r="K21" s="9">
        <v>5.1999999999999998E-2</v>
      </c>
      <c r="L21" s="9">
        <v>5.96</v>
      </c>
      <c r="M21" s="9">
        <v>-16.7</v>
      </c>
      <c r="N21" s="9">
        <v>4.01</v>
      </c>
      <c r="O21" s="9">
        <v>0</v>
      </c>
      <c r="P21" s="9">
        <v>0</v>
      </c>
      <c r="Q21" s="9">
        <v>0</v>
      </c>
      <c r="R21" s="9">
        <v>2.5099999999999998</v>
      </c>
      <c r="S21" s="9">
        <v>-10.199999999999999</v>
      </c>
      <c r="T21" s="9">
        <v>1.9</v>
      </c>
      <c r="U21" s="9">
        <v>4.3400000000000001E-2</v>
      </c>
      <c r="V21" s="9">
        <v>2.9</v>
      </c>
      <c r="W21" s="9">
        <v>0.219</v>
      </c>
    </row>
    <row r="22" spans="1:23" x14ac:dyDescent="0.3">
      <c r="A22" s="4">
        <v>11</v>
      </c>
      <c r="B22" s="5" t="s">
        <v>130</v>
      </c>
      <c r="C22" s="5">
        <v>1</v>
      </c>
      <c r="D22" s="5" t="str">
        <f t="shared" si="0"/>
        <v>11,2015-2020,1</v>
      </c>
      <c r="E22" s="6">
        <v>0.94</v>
      </c>
      <c r="F22" s="6">
        <v>0</v>
      </c>
      <c r="G22" s="6">
        <v>0.59399999999999997</v>
      </c>
      <c r="H22" s="6">
        <v>3</v>
      </c>
      <c r="I22" s="6">
        <v>3.8</v>
      </c>
      <c r="J22" s="6">
        <v>-22.1</v>
      </c>
      <c r="K22" s="6">
        <v>5.1999999999999998E-2</v>
      </c>
      <c r="L22" s="6">
        <v>5.91</v>
      </c>
      <c r="M22" s="6">
        <v>-15.6</v>
      </c>
      <c r="N22" s="6">
        <v>4.01</v>
      </c>
      <c r="O22" s="6">
        <v>0</v>
      </c>
      <c r="P22" s="6">
        <v>0</v>
      </c>
      <c r="Q22" s="6">
        <v>0</v>
      </c>
      <c r="R22" s="6">
        <v>2.4700000000000002</v>
      </c>
      <c r="S22" s="6">
        <v>-0.94</v>
      </c>
      <c r="T22" s="6">
        <v>1.96</v>
      </c>
      <c r="U22" s="6">
        <v>3.4700000000000002E-2</v>
      </c>
      <c r="V22" s="6">
        <v>2.9</v>
      </c>
      <c r="W22" s="6">
        <v>0.219</v>
      </c>
    </row>
    <row r="23" spans="1:23" x14ac:dyDescent="0.3">
      <c r="A23" s="7">
        <v>11</v>
      </c>
      <c r="B23" s="8" t="s">
        <v>131</v>
      </c>
      <c r="C23" s="8">
        <v>1</v>
      </c>
      <c r="D23" s="8" t="str">
        <f t="shared" si="0"/>
        <v>11,2020-,1</v>
      </c>
      <c r="E23" s="9">
        <v>0.94</v>
      </c>
      <c r="F23" s="9">
        <v>0</v>
      </c>
      <c r="G23" s="9">
        <v>0.59399999999999997</v>
      </c>
      <c r="H23" s="9">
        <v>3.1</v>
      </c>
      <c r="I23" s="9">
        <v>4</v>
      </c>
      <c r="J23" s="9">
        <v>-11.4</v>
      </c>
      <c r="K23" s="9">
        <v>5.1999999999999998E-2</v>
      </c>
      <c r="L23" s="9">
        <v>6.21</v>
      </c>
      <c r="M23" s="9">
        <v>-17.399999999999999</v>
      </c>
      <c r="N23" s="9">
        <v>4</v>
      </c>
      <c r="O23" s="9">
        <v>0</v>
      </c>
      <c r="P23" s="9">
        <v>0</v>
      </c>
      <c r="Q23" s="9">
        <v>0</v>
      </c>
      <c r="R23" s="9">
        <v>2.57</v>
      </c>
      <c r="S23" s="9">
        <v>4.26</v>
      </c>
      <c r="T23" s="9">
        <v>2.04</v>
      </c>
      <c r="U23" s="9">
        <v>2.7E-2</v>
      </c>
      <c r="V23" s="9">
        <v>4.0999999999999996</v>
      </c>
      <c r="W23" s="9">
        <v>0.219</v>
      </c>
    </row>
    <row r="24" spans="1:23" x14ac:dyDescent="0.3">
      <c r="A24" s="4">
        <v>11</v>
      </c>
      <c r="B24" s="5">
        <v>-1920</v>
      </c>
      <c r="C24" s="5">
        <v>1.5</v>
      </c>
      <c r="D24" s="5" t="str">
        <f t="shared" si="0"/>
        <v>11,-1920,1,5</v>
      </c>
      <c r="E24" s="6">
        <v>0.218</v>
      </c>
      <c r="F24" s="6">
        <v>55.1</v>
      </c>
      <c r="G24" s="6">
        <v>0.49199999999999999</v>
      </c>
      <c r="H24" s="6">
        <v>2.8</v>
      </c>
      <c r="I24" s="6">
        <v>2.9</v>
      </c>
      <c r="J24" s="6">
        <v>-1</v>
      </c>
      <c r="K24" s="6">
        <v>5.1999999999999998E-2</v>
      </c>
      <c r="L24" s="6">
        <v>5.12</v>
      </c>
      <c r="M24" s="6">
        <v>-6.2</v>
      </c>
      <c r="N24" s="6">
        <v>4.01</v>
      </c>
      <c r="O24" s="6">
        <v>0.24</v>
      </c>
      <c r="P24" s="6">
        <v>-11</v>
      </c>
      <c r="Q24" s="6">
        <v>0.19700000000000001</v>
      </c>
      <c r="R24" s="6">
        <v>3.1467800000000001</v>
      </c>
      <c r="S24" s="6">
        <v>-20.2</v>
      </c>
      <c r="T24" s="6">
        <v>2.0129199999999998</v>
      </c>
      <c r="U24" s="6">
        <v>2.2100000000000002E-2</v>
      </c>
      <c r="V24" s="6">
        <v>6.2</v>
      </c>
      <c r="W24" s="6">
        <v>0.26100000000000001</v>
      </c>
    </row>
    <row r="25" spans="1:23" x14ac:dyDescent="0.3">
      <c r="A25" s="7">
        <v>11</v>
      </c>
      <c r="B25" s="8" t="s">
        <v>111</v>
      </c>
      <c r="C25" s="8">
        <v>1.5</v>
      </c>
      <c r="D25" s="8" t="str">
        <f t="shared" si="0"/>
        <v>11,1920-1925,1,5</v>
      </c>
      <c r="E25" s="9">
        <v>0.218</v>
      </c>
      <c r="F25" s="9">
        <v>55.1</v>
      </c>
      <c r="G25" s="9">
        <v>0.49199999999999999</v>
      </c>
      <c r="H25" s="9">
        <v>2.8</v>
      </c>
      <c r="I25" s="9">
        <v>2.9</v>
      </c>
      <c r="J25" s="9">
        <v>-1</v>
      </c>
      <c r="K25" s="9">
        <v>5.1999999999999998E-2</v>
      </c>
      <c r="L25" s="9">
        <v>5.26</v>
      </c>
      <c r="M25" s="9">
        <v>-8.0399999999999991</v>
      </c>
      <c r="N25" s="9">
        <v>4.01</v>
      </c>
      <c r="O25" s="9">
        <v>0.24</v>
      </c>
      <c r="P25" s="9">
        <v>-11</v>
      </c>
      <c r="Q25" s="9">
        <v>0.19700000000000001</v>
      </c>
      <c r="R25" s="9">
        <v>3.0575999999999999</v>
      </c>
      <c r="S25" s="9">
        <v>-18.100000000000001</v>
      </c>
      <c r="T25" s="9">
        <v>2.0766200000000001</v>
      </c>
      <c r="U25" s="9">
        <v>2.5399999999999999E-2</v>
      </c>
      <c r="V25" s="9">
        <v>6.1</v>
      </c>
      <c r="W25" s="9">
        <v>0.26100000000000001</v>
      </c>
    </row>
    <row r="26" spans="1:23" x14ac:dyDescent="0.3">
      <c r="A26" s="4">
        <v>11</v>
      </c>
      <c r="B26" s="5" t="s">
        <v>112</v>
      </c>
      <c r="C26" s="5">
        <v>1.5</v>
      </c>
      <c r="D26" s="5" t="str">
        <f t="shared" si="0"/>
        <v>11,1925-1930,1,5</v>
      </c>
      <c r="E26" s="6">
        <v>0.218</v>
      </c>
      <c r="F26" s="6">
        <v>55.1</v>
      </c>
      <c r="G26" s="6">
        <v>0.49199999999999999</v>
      </c>
      <c r="H26" s="6">
        <v>2.9</v>
      </c>
      <c r="I26" s="6">
        <v>3</v>
      </c>
      <c r="J26" s="6">
        <v>-1</v>
      </c>
      <c r="K26" s="6">
        <v>5.1999999999999998E-2</v>
      </c>
      <c r="L26" s="6">
        <v>4.84</v>
      </c>
      <c r="M26" s="6">
        <v>-4.1900000000000004</v>
      </c>
      <c r="N26" s="6">
        <v>4.0199999999999996</v>
      </c>
      <c r="O26" s="6">
        <v>0.24</v>
      </c>
      <c r="P26" s="6">
        <v>-11</v>
      </c>
      <c r="Q26" s="6">
        <v>0.19700000000000001</v>
      </c>
      <c r="R26" s="6">
        <v>3.0575999999999999</v>
      </c>
      <c r="S26" s="6">
        <v>-15.9</v>
      </c>
      <c r="T26" s="6">
        <v>2.0766200000000001</v>
      </c>
      <c r="U26" s="6">
        <v>1.9800000000000002E-2</v>
      </c>
      <c r="V26" s="6">
        <v>6.7</v>
      </c>
      <c r="W26" s="6">
        <v>0.26100000000000001</v>
      </c>
    </row>
    <row r="27" spans="1:23" x14ac:dyDescent="0.3">
      <c r="A27" s="7">
        <v>11</v>
      </c>
      <c r="B27" s="8" t="s">
        <v>113</v>
      </c>
      <c r="C27" s="8">
        <v>1.5</v>
      </c>
      <c r="D27" s="8" t="str">
        <f t="shared" si="0"/>
        <v>11,1930-1935,1,5</v>
      </c>
      <c r="E27" s="9">
        <v>0.218</v>
      </c>
      <c r="F27" s="9">
        <v>55.1</v>
      </c>
      <c r="G27" s="9">
        <v>0.49199999999999999</v>
      </c>
      <c r="H27" s="9">
        <v>2.9</v>
      </c>
      <c r="I27" s="9">
        <v>3</v>
      </c>
      <c r="J27" s="9">
        <v>-1</v>
      </c>
      <c r="K27" s="9">
        <v>5.1999999999999998E-2</v>
      </c>
      <c r="L27" s="9">
        <v>4.97</v>
      </c>
      <c r="M27" s="9">
        <v>-5.08</v>
      </c>
      <c r="N27" s="9">
        <v>4.01</v>
      </c>
      <c r="O27" s="9">
        <v>0.24</v>
      </c>
      <c r="P27" s="9">
        <v>-11</v>
      </c>
      <c r="Q27" s="9">
        <v>0.19700000000000001</v>
      </c>
      <c r="R27" s="9">
        <v>2.8410199999999999</v>
      </c>
      <c r="S27" s="9">
        <v>-6.63</v>
      </c>
      <c r="T27" s="9">
        <v>2.0638800000000002</v>
      </c>
      <c r="U27" s="9">
        <v>3.1800000000000002E-2</v>
      </c>
      <c r="V27" s="9">
        <v>5.8</v>
      </c>
      <c r="W27" s="9">
        <v>0.26100000000000001</v>
      </c>
    </row>
    <row r="28" spans="1:23" x14ac:dyDescent="0.3">
      <c r="A28" s="4">
        <v>11</v>
      </c>
      <c r="B28" s="5" t="s">
        <v>114</v>
      </c>
      <c r="C28" s="5">
        <v>1.5</v>
      </c>
      <c r="D28" s="5" t="str">
        <f t="shared" si="0"/>
        <v>11,1935-1940,1,5</v>
      </c>
      <c r="E28" s="6">
        <v>0.218</v>
      </c>
      <c r="F28" s="6">
        <v>55.1</v>
      </c>
      <c r="G28" s="6">
        <v>0.49199999999999999</v>
      </c>
      <c r="H28" s="6">
        <v>3</v>
      </c>
      <c r="I28" s="6">
        <v>3.1</v>
      </c>
      <c r="J28" s="6">
        <v>-1</v>
      </c>
      <c r="K28" s="6">
        <v>5.1999999999999998E-2</v>
      </c>
      <c r="L28" s="6">
        <v>5.18</v>
      </c>
      <c r="M28" s="6">
        <v>-7.42</v>
      </c>
      <c r="N28" s="6">
        <v>4</v>
      </c>
      <c r="O28" s="6">
        <v>0.24</v>
      </c>
      <c r="P28" s="6">
        <v>-11</v>
      </c>
      <c r="Q28" s="6">
        <v>0.19700000000000001</v>
      </c>
      <c r="R28" s="6">
        <v>3.01938</v>
      </c>
      <c r="S28" s="6">
        <v>-14.2</v>
      </c>
      <c r="T28" s="6">
        <v>2.0766200000000001</v>
      </c>
      <c r="U28" s="6">
        <v>3.0499999999999999E-2</v>
      </c>
      <c r="V28" s="6">
        <v>5.7</v>
      </c>
      <c r="W28" s="6">
        <v>0.26100000000000001</v>
      </c>
    </row>
    <row r="29" spans="1:23" x14ac:dyDescent="0.3">
      <c r="A29" s="7">
        <v>11</v>
      </c>
      <c r="B29" s="8" t="s">
        <v>115</v>
      </c>
      <c r="C29" s="8">
        <v>1.5</v>
      </c>
      <c r="D29" s="8" t="str">
        <f t="shared" si="0"/>
        <v>11,1940-1945,1,5</v>
      </c>
      <c r="E29" s="9">
        <v>0.218</v>
      </c>
      <c r="F29" s="9">
        <v>55.1</v>
      </c>
      <c r="G29" s="9">
        <v>0.49199999999999999</v>
      </c>
      <c r="H29" s="9">
        <v>3</v>
      </c>
      <c r="I29" s="9">
        <v>3.1</v>
      </c>
      <c r="J29" s="9">
        <v>-1</v>
      </c>
      <c r="K29" s="9">
        <v>5.1999999999999998E-2</v>
      </c>
      <c r="L29" s="9">
        <v>5.77</v>
      </c>
      <c r="M29" s="9">
        <v>-12.6</v>
      </c>
      <c r="N29" s="9">
        <v>4.0199999999999996</v>
      </c>
      <c r="O29" s="9">
        <v>0.24</v>
      </c>
      <c r="P29" s="9">
        <v>-11</v>
      </c>
      <c r="Q29" s="9">
        <v>0.19700000000000001</v>
      </c>
      <c r="R29" s="9">
        <v>2.8028</v>
      </c>
      <c r="S29" s="9">
        <v>-2.97</v>
      </c>
      <c r="T29" s="9">
        <v>2.0893600000000001</v>
      </c>
      <c r="U29" s="9">
        <v>3.5799999999999998E-2</v>
      </c>
      <c r="V29" s="9">
        <v>4.8</v>
      </c>
      <c r="W29" s="9">
        <v>0.26100000000000001</v>
      </c>
    </row>
    <row r="30" spans="1:23" x14ac:dyDescent="0.3">
      <c r="A30" s="4">
        <v>11</v>
      </c>
      <c r="B30" s="5" t="s">
        <v>116</v>
      </c>
      <c r="C30" s="5">
        <v>1.5</v>
      </c>
      <c r="D30" s="5" t="str">
        <f t="shared" si="0"/>
        <v>11,1945-1950,1,5</v>
      </c>
      <c r="E30" s="6">
        <v>0.218</v>
      </c>
      <c r="F30" s="6">
        <v>55.1</v>
      </c>
      <c r="G30" s="6">
        <v>0.49199999999999999</v>
      </c>
      <c r="H30" s="6">
        <v>3</v>
      </c>
      <c r="I30" s="6">
        <v>3.1</v>
      </c>
      <c r="J30" s="6">
        <v>-1</v>
      </c>
      <c r="K30" s="6">
        <v>5.1999999999999998E-2</v>
      </c>
      <c r="L30" s="6">
        <v>5.57</v>
      </c>
      <c r="M30" s="6">
        <v>-10.8</v>
      </c>
      <c r="N30" s="6">
        <v>4</v>
      </c>
      <c r="O30" s="6">
        <v>0.24</v>
      </c>
      <c r="P30" s="6">
        <v>-11</v>
      </c>
      <c r="Q30" s="6">
        <v>0.19700000000000001</v>
      </c>
      <c r="R30" s="6">
        <v>2.9556800000000001</v>
      </c>
      <c r="S30" s="6">
        <v>-9.2799999999999994</v>
      </c>
      <c r="T30" s="6">
        <v>2.0893600000000001</v>
      </c>
      <c r="U30" s="6">
        <v>3.3599999999999998E-2</v>
      </c>
      <c r="V30" s="6">
        <v>5</v>
      </c>
      <c r="W30" s="6">
        <v>0.26100000000000001</v>
      </c>
    </row>
    <row r="31" spans="1:23" x14ac:dyDescent="0.3">
      <c r="A31" s="7">
        <v>11</v>
      </c>
      <c r="B31" s="8" t="s">
        <v>117</v>
      </c>
      <c r="C31" s="8">
        <v>1.5</v>
      </c>
      <c r="D31" s="8" t="str">
        <f t="shared" si="0"/>
        <v>11,1950-1955,1,5</v>
      </c>
      <c r="E31" s="9">
        <v>7.1300000000000002E-2</v>
      </c>
      <c r="F31" s="9">
        <v>69.7</v>
      </c>
      <c r="G31" s="9">
        <v>0.48199999999999998</v>
      </c>
      <c r="H31" s="9">
        <v>3</v>
      </c>
      <c r="I31" s="9">
        <v>3.2</v>
      </c>
      <c r="J31" s="9">
        <v>-13.5</v>
      </c>
      <c r="K31" s="9">
        <v>5.1999999999999998E-2</v>
      </c>
      <c r="L31" s="9">
        <v>5.94</v>
      </c>
      <c r="M31" s="9">
        <v>-14.4</v>
      </c>
      <c r="N31" s="9">
        <v>4.0199999999999996</v>
      </c>
      <c r="O31" s="9">
        <v>0.24</v>
      </c>
      <c r="P31" s="9">
        <v>-11</v>
      </c>
      <c r="Q31" s="9">
        <v>0.19700000000000001</v>
      </c>
      <c r="R31" s="9">
        <v>3.0958199999999998</v>
      </c>
      <c r="S31" s="9">
        <v>-15.2</v>
      </c>
      <c r="T31" s="9">
        <v>2.1148400000000001</v>
      </c>
      <c r="U31" s="9">
        <v>3.3700000000000001E-2</v>
      </c>
      <c r="V31" s="9">
        <v>5.0999999999999996</v>
      </c>
      <c r="W31" s="9">
        <v>0.26100000000000001</v>
      </c>
    </row>
    <row r="32" spans="1:23" x14ac:dyDescent="0.3">
      <c r="A32" s="4">
        <v>11</v>
      </c>
      <c r="B32" s="5" t="s">
        <v>118</v>
      </c>
      <c r="C32" s="5">
        <v>1.5</v>
      </c>
      <c r="D32" s="5" t="str">
        <f t="shared" si="0"/>
        <v>11,1955-1960,1,5</v>
      </c>
      <c r="E32" s="6">
        <v>6.6699999999999995E-2</v>
      </c>
      <c r="F32" s="6">
        <v>72</v>
      </c>
      <c r="G32" s="6">
        <v>0.47199999999999998</v>
      </c>
      <c r="H32" s="6">
        <v>3</v>
      </c>
      <c r="I32" s="6">
        <v>3.3</v>
      </c>
      <c r="J32" s="6">
        <v>-17.3</v>
      </c>
      <c r="K32" s="6">
        <v>5.1999999999999998E-2</v>
      </c>
      <c r="L32" s="6">
        <v>5.79</v>
      </c>
      <c r="M32" s="6">
        <v>-13.3</v>
      </c>
      <c r="N32" s="6">
        <v>4.01</v>
      </c>
      <c r="O32" s="6">
        <v>0.24</v>
      </c>
      <c r="P32" s="6">
        <v>-11</v>
      </c>
      <c r="Q32" s="6">
        <v>0.19700000000000001</v>
      </c>
      <c r="R32" s="6">
        <v>2.9047200000000002</v>
      </c>
      <c r="S32" s="6">
        <v>-4.87</v>
      </c>
      <c r="T32" s="6">
        <v>2.1148400000000001</v>
      </c>
      <c r="U32" s="6">
        <v>2.92E-2</v>
      </c>
      <c r="V32" s="6">
        <v>5.0999999999999996</v>
      </c>
      <c r="W32" s="6">
        <v>0.26100000000000001</v>
      </c>
    </row>
    <row r="33" spans="1:23" x14ac:dyDescent="0.3">
      <c r="A33" s="7">
        <v>11</v>
      </c>
      <c r="B33" s="8" t="s">
        <v>119</v>
      </c>
      <c r="C33" s="8">
        <v>1.5</v>
      </c>
      <c r="D33" s="8" t="str">
        <f t="shared" si="0"/>
        <v>11,1960-1965,1,5</v>
      </c>
      <c r="E33" s="9">
        <v>6.6699999999999995E-2</v>
      </c>
      <c r="F33" s="9">
        <v>72</v>
      </c>
      <c r="G33" s="9">
        <v>0.47199999999999998</v>
      </c>
      <c r="H33" s="9">
        <v>3</v>
      </c>
      <c r="I33" s="9">
        <v>3.3</v>
      </c>
      <c r="J33" s="9">
        <v>-17.3</v>
      </c>
      <c r="K33" s="9">
        <v>5.1999999999999998E-2</v>
      </c>
      <c r="L33" s="9">
        <v>6.24</v>
      </c>
      <c r="M33" s="9">
        <v>-18.2</v>
      </c>
      <c r="N33" s="9">
        <v>4.0199999999999996</v>
      </c>
      <c r="O33" s="9">
        <v>0.24</v>
      </c>
      <c r="P33" s="9">
        <v>-11</v>
      </c>
      <c r="Q33" s="9">
        <v>0.19700000000000001</v>
      </c>
      <c r="R33" s="9">
        <v>3.0830799999999998</v>
      </c>
      <c r="S33" s="9">
        <v>-13.7</v>
      </c>
      <c r="T33" s="9">
        <v>2.12758</v>
      </c>
      <c r="U33" s="9">
        <v>3.2199999999999999E-2</v>
      </c>
      <c r="V33" s="9">
        <v>4.5999999999999996</v>
      </c>
      <c r="W33" s="9">
        <v>0.26100000000000001</v>
      </c>
    </row>
    <row r="34" spans="1:23" x14ac:dyDescent="0.3">
      <c r="A34" s="4">
        <v>11</v>
      </c>
      <c r="B34" s="5" t="s">
        <v>120</v>
      </c>
      <c r="C34" s="5">
        <v>1.5</v>
      </c>
      <c r="D34" s="5" t="str">
        <f t="shared" si="0"/>
        <v>11,1965-1970,1,5</v>
      </c>
      <c r="E34" s="6">
        <v>6.6699999999999995E-2</v>
      </c>
      <c r="F34" s="6">
        <v>72</v>
      </c>
      <c r="G34" s="6">
        <v>0.47199999999999998</v>
      </c>
      <c r="H34" s="6">
        <v>3</v>
      </c>
      <c r="I34" s="6">
        <v>3.3</v>
      </c>
      <c r="J34" s="6">
        <v>-17.3</v>
      </c>
      <c r="K34" s="6">
        <v>5.1999999999999998E-2</v>
      </c>
      <c r="L34" s="6">
        <v>6.72</v>
      </c>
      <c r="M34" s="6">
        <v>-24</v>
      </c>
      <c r="N34" s="6">
        <v>4.03</v>
      </c>
      <c r="O34" s="6">
        <v>0.24</v>
      </c>
      <c r="P34" s="6">
        <v>-11</v>
      </c>
      <c r="Q34" s="6">
        <v>0.19700000000000001</v>
      </c>
      <c r="R34" s="6">
        <v>2.98116</v>
      </c>
      <c r="S34" s="6">
        <v>-12.7</v>
      </c>
      <c r="T34" s="6">
        <v>2.12758</v>
      </c>
      <c r="U34" s="6">
        <v>2.7799999999999998E-2</v>
      </c>
      <c r="V34" s="6">
        <v>4.7</v>
      </c>
      <c r="W34" s="6">
        <v>0.26100000000000001</v>
      </c>
    </row>
    <row r="35" spans="1:23" x14ac:dyDescent="0.3">
      <c r="A35" s="7">
        <v>11</v>
      </c>
      <c r="B35" s="8" t="s">
        <v>121</v>
      </c>
      <c r="C35" s="8">
        <v>1.5</v>
      </c>
      <c r="D35" s="8" t="str">
        <f t="shared" si="0"/>
        <v>11,1970-1975,1,5</v>
      </c>
      <c r="E35" s="9">
        <v>6.6699999999999995E-2</v>
      </c>
      <c r="F35" s="9">
        <v>72</v>
      </c>
      <c r="G35" s="9">
        <v>0.47199999999999998</v>
      </c>
      <c r="H35" s="9">
        <v>3</v>
      </c>
      <c r="I35" s="9">
        <v>3.3</v>
      </c>
      <c r="J35" s="9">
        <v>-17.3</v>
      </c>
      <c r="K35" s="9">
        <v>5.1999999999999998E-2</v>
      </c>
      <c r="L35" s="9">
        <v>6.59</v>
      </c>
      <c r="M35" s="9">
        <v>-22.9</v>
      </c>
      <c r="N35" s="9">
        <v>4.05</v>
      </c>
      <c r="O35" s="9">
        <v>0.24</v>
      </c>
      <c r="P35" s="9">
        <v>-11</v>
      </c>
      <c r="Q35" s="9">
        <v>0.19700000000000001</v>
      </c>
      <c r="R35" s="9">
        <v>3.00664</v>
      </c>
      <c r="S35" s="9">
        <v>-19.3</v>
      </c>
      <c r="T35" s="9">
        <v>2.14032</v>
      </c>
      <c r="U35" s="9">
        <v>3.0599999999999999E-2</v>
      </c>
      <c r="V35" s="9">
        <v>4.0999999999999996</v>
      </c>
      <c r="W35" s="9">
        <v>0.26100000000000001</v>
      </c>
    </row>
    <row r="36" spans="1:23" x14ac:dyDescent="0.3">
      <c r="A36" s="4">
        <v>11</v>
      </c>
      <c r="B36" s="5" t="s">
        <v>122</v>
      </c>
      <c r="C36" s="5">
        <v>1.5</v>
      </c>
      <c r="D36" s="5" t="str">
        <f t="shared" si="0"/>
        <v>11,1975-1980,1,5</v>
      </c>
      <c r="E36" s="6">
        <v>6.6699999999999995E-2</v>
      </c>
      <c r="F36" s="6">
        <v>72</v>
      </c>
      <c r="G36" s="6">
        <v>0.47199999999999998</v>
      </c>
      <c r="H36" s="6">
        <v>3</v>
      </c>
      <c r="I36" s="6">
        <v>3.3</v>
      </c>
      <c r="J36" s="6">
        <v>-17.3</v>
      </c>
      <c r="K36" s="6">
        <v>5.1999999999999998E-2</v>
      </c>
      <c r="L36" s="6">
        <v>6.42</v>
      </c>
      <c r="M36" s="6">
        <v>-21.1</v>
      </c>
      <c r="N36" s="6">
        <v>4.01</v>
      </c>
      <c r="O36" s="6">
        <v>0.24</v>
      </c>
      <c r="P36" s="6">
        <v>-11</v>
      </c>
      <c r="Q36" s="6">
        <v>0.19700000000000001</v>
      </c>
      <c r="R36" s="6">
        <v>2.98116</v>
      </c>
      <c r="S36" s="6">
        <v>-17.7</v>
      </c>
      <c r="T36" s="6">
        <v>2.12758</v>
      </c>
      <c r="U36" s="6">
        <v>3.39E-2</v>
      </c>
      <c r="V36" s="6">
        <v>3.6</v>
      </c>
      <c r="W36" s="6">
        <v>0.26100000000000001</v>
      </c>
    </row>
    <row r="37" spans="1:23" x14ac:dyDescent="0.3">
      <c r="A37" s="7">
        <v>11</v>
      </c>
      <c r="B37" s="8" t="s">
        <v>123</v>
      </c>
      <c r="C37" s="8">
        <v>1.5</v>
      </c>
      <c r="D37" s="8" t="str">
        <f t="shared" si="0"/>
        <v>11,1980-1985,1,5</v>
      </c>
      <c r="E37" s="9">
        <v>6.6699999999999995E-2</v>
      </c>
      <c r="F37" s="9">
        <v>72</v>
      </c>
      <c r="G37" s="9">
        <v>0.47199999999999998</v>
      </c>
      <c r="H37" s="9">
        <v>3</v>
      </c>
      <c r="I37" s="9">
        <v>3.3</v>
      </c>
      <c r="J37" s="9">
        <v>-17.3</v>
      </c>
      <c r="K37" s="9">
        <v>5.1999999999999998E-2</v>
      </c>
      <c r="L37" s="9">
        <v>6.15</v>
      </c>
      <c r="M37" s="9">
        <v>-18.399999999999999</v>
      </c>
      <c r="N37" s="9">
        <v>4.01</v>
      </c>
      <c r="O37" s="9">
        <v>0.24</v>
      </c>
      <c r="P37" s="9">
        <v>-11</v>
      </c>
      <c r="Q37" s="9">
        <v>0.19700000000000001</v>
      </c>
      <c r="R37" s="9">
        <v>3.1085600000000002</v>
      </c>
      <c r="S37" s="9">
        <v>-18.899999999999999</v>
      </c>
      <c r="T37" s="9">
        <v>2.1148400000000001</v>
      </c>
      <c r="U37" s="9">
        <v>3.0200000000000001E-2</v>
      </c>
      <c r="V37" s="9">
        <v>4.3</v>
      </c>
      <c r="W37" s="9">
        <v>0.26100000000000001</v>
      </c>
    </row>
    <row r="38" spans="1:23" x14ac:dyDescent="0.3">
      <c r="A38" s="4">
        <v>11</v>
      </c>
      <c r="B38" s="5" t="s">
        <v>124</v>
      </c>
      <c r="C38" s="5">
        <v>1.5</v>
      </c>
      <c r="D38" s="5" t="str">
        <f t="shared" si="0"/>
        <v>11,1985-1990,1,5</v>
      </c>
      <c r="E38" s="6">
        <v>6.6699999999999995E-2</v>
      </c>
      <c r="F38" s="6">
        <v>72</v>
      </c>
      <c r="G38" s="6">
        <v>0.47199999999999998</v>
      </c>
      <c r="H38" s="6">
        <v>3</v>
      </c>
      <c r="I38" s="6">
        <v>3.3</v>
      </c>
      <c r="J38" s="6">
        <v>-17.3</v>
      </c>
      <c r="K38" s="6">
        <v>5.1999999999999998E-2</v>
      </c>
      <c r="L38" s="6">
        <v>6</v>
      </c>
      <c r="M38" s="6">
        <v>-16.899999999999999</v>
      </c>
      <c r="N38" s="6">
        <v>4.0199999999999996</v>
      </c>
      <c r="O38" s="6">
        <v>0.24</v>
      </c>
      <c r="P38" s="6">
        <v>-11</v>
      </c>
      <c r="Q38" s="6">
        <v>0.19700000000000001</v>
      </c>
      <c r="R38" s="6">
        <v>3.0703399999999998</v>
      </c>
      <c r="S38" s="6">
        <v>-18</v>
      </c>
      <c r="T38" s="6">
        <v>2.12758</v>
      </c>
      <c r="U38" s="6">
        <v>3.6900000000000002E-2</v>
      </c>
      <c r="V38" s="6">
        <v>4.9000000000000004</v>
      </c>
      <c r="W38" s="6">
        <v>0.26100000000000001</v>
      </c>
    </row>
    <row r="39" spans="1:23" x14ac:dyDescent="0.3">
      <c r="A39" s="7">
        <v>11</v>
      </c>
      <c r="B39" s="8" t="s">
        <v>125</v>
      </c>
      <c r="C39" s="8">
        <v>1.5</v>
      </c>
      <c r="D39" s="8" t="str">
        <f t="shared" si="0"/>
        <v>11,1990-1995,1,5</v>
      </c>
      <c r="E39" s="9">
        <v>6.6699999999999995E-2</v>
      </c>
      <c r="F39" s="9">
        <v>72</v>
      </c>
      <c r="G39" s="9">
        <v>0.47199999999999998</v>
      </c>
      <c r="H39" s="9">
        <v>3</v>
      </c>
      <c r="I39" s="9">
        <v>3.3</v>
      </c>
      <c r="J39" s="9">
        <v>-17.3</v>
      </c>
      <c r="K39" s="9">
        <v>5.1999999999999998E-2</v>
      </c>
      <c r="L39" s="9">
        <v>6.04</v>
      </c>
      <c r="M39" s="9">
        <v>-17</v>
      </c>
      <c r="N39" s="9">
        <v>4.04</v>
      </c>
      <c r="O39" s="9">
        <v>0.24</v>
      </c>
      <c r="P39" s="9">
        <v>-11</v>
      </c>
      <c r="Q39" s="9">
        <v>0.19700000000000001</v>
      </c>
      <c r="R39" s="9">
        <v>3.00664</v>
      </c>
      <c r="S39" s="9">
        <v>-15.3</v>
      </c>
      <c r="T39" s="9">
        <v>2.15306</v>
      </c>
      <c r="U39" s="9">
        <v>3.6999999999999998E-2</v>
      </c>
      <c r="V39" s="9">
        <v>5.9</v>
      </c>
      <c r="W39" s="9">
        <v>0.26100000000000001</v>
      </c>
    </row>
    <row r="40" spans="1:23" x14ac:dyDescent="0.3">
      <c r="A40" s="4">
        <v>11</v>
      </c>
      <c r="B40" s="5" t="s">
        <v>126</v>
      </c>
      <c r="C40" s="5">
        <v>1.5</v>
      </c>
      <c r="D40" s="5" t="str">
        <f t="shared" si="0"/>
        <v>11,1995-2000,1,5</v>
      </c>
      <c r="E40" s="6">
        <v>6.6699999999999995E-2</v>
      </c>
      <c r="F40" s="6">
        <v>72</v>
      </c>
      <c r="G40" s="6">
        <v>0.47199999999999998</v>
      </c>
      <c r="H40" s="6">
        <v>3</v>
      </c>
      <c r="I40" s="6">
        <v>3.3</v>
      </c>
      <c r="J40" s="6">
        <v>-17.3</v>
      </c>
      <c r="K40" s="6">
        <v>5.1999999999999998E-2</v>
      </c>
      <c r="L40" s="6">
        <v>5.86</v>
      </c>
      <c r="M40" s="6">
        <v>-15.5</v>
      </c>
      <c r="N40" s="6">
        <v>4.05</v>
      </c>
      <c r="O40" s="6">
        <v>0.24</v>
      </c>
      <c r="P40" s="6">
        <v>-11</v>
      </c>
      <c r="Q40" s="6">
        <v>0.19700000000000001</v>
      </c>
      <c r="R40" s="6">
        <v>3.1213000000000002</v>
      </c>
      <c r="S40" s="6">
        <v>-19.399999999999999</v>
      </c>
      <c r="T40" s="6">
        <v>2.2167599999999998</v>
      </c>
      <c r="U40" s="6">
        <v>4.7399999999999998E-2</v>
      </c>
      <c r="V40" s="6">
        <v>4.4000000000000004</v>
      </c>
      <c r="W40" s="6">
        <v>0.26100000000000001</v>
      </c>
    </row>
    <row r="41" spans="1:23" x14ac:dyDescent="0.3">
      <c r="A41" s="7">
        <v>11</v>
      </c>
      <c r="B41" s="8" t="s">
        <v>127</v>
      </c>
      <c r="C41" s="8">
        <v>1.5</v>
      </c>
      <c r="D41" s="8" t="str">
        <f t="shared" si="0"/>
        <v>11,2000-2005,1,5</v>
      </c>
      <c r="E41" s="9">
        <v>6.6699999999999995E-2</v>
      </c>
      <c r="F41" s="9">
        <v>72</v>
      </c>
      <c r="G41" s="9">
        <v>0.47199999999999998</v>
      </c>
      <c r="H41" s="9">
        <v>3</v>
      </c>
      <c r="I41" s="9">
        <v>3.3</v>
      </c>
      <c r="J41" s="9">
        <v>-17.3</v>
      </c>
      <c r="K41" s="9">
        <v>5.1999999999999998E-2</v>
      </c>
      <c r="L41" s="9">
        <v>5.79</v>
      </c>
      <c r="M41" s="9">
        <v>-14.8</v>
      </c>
      <c r="N41" s="9">
        <v>4.04</v>
      </c>
      <c r="O41" s="9">
        <v>0.24</v>
      </c>
      <c r="P41" s="9">
        <v>-11</v>
      </c>
      <c r="Q41" s="9">
        <v>0.19700000000000001</v>
      </c>
      <c r="R41" s="9">
        <v>3.0958199999999998</v>
      </c>
      <c r="S41" s="9">
        <v>-13.7</v>
      </c>
      <c r="T41" s="9">
        <v>2.3059400000000001</v>
      </c>
      <c r="U41" s="9">
        <v>4.3700000000000003E-2</v>
      </c>
      <c r="V41" s="9">
        <v>4.7</v>
      </c>
      <c r="W41" s="9">
        <v>0.26100000000000001</v>
      </c>
    </row>
    <row r="42" spans="1:23" x14ac:dyDescent="0.3">
      <c r="A42" s="4">
        <v>11</v>
      </c>
      <c r="B42" s="5" t="s">
        <v>128</v>
      </c>
      <c r="C42" s="5">
        <v>1.5</v>
      </c>
      <c r="D42" s="5" t="str">
        <f t="shared" si="0"/>
        <v>11,2005-2010,1,5</v>
      </c>
      <c r="E42" s="6">
        <v>6.6699999999999995E-2</v>
      </c>
      <c r="F42" s="6">
        <v>72</v>
      </c>
      <c r="G42" s="6">
        <v>0.47199999999999998</v>
      </c>
      <c r="H42" s="6">
        <v>3</v>
      </c>
      <c r="I42" s="6">
        <v>3.3</v>
      </c>
      <c r="J42" s="6">
        <v>-17.3</v>
      </c>
      <c r="K42" s="6">
        <v>5.1999999999999998E-2</v>
      </c>
      <c r="L42" s="6">
        <v>5.99</v>
      </c>
      <c r="M42" s="6">
        <v>-16.600000000000001</v>
      </c>
      <c r="N42" s="6">
        <v>4.03</v>
      </c>
      <c r="O42" s="6">
        <v>0.24</v>
      </c>
      <c r="P42" s="6">
        <v>-11</v>
      </c>
      <c r="Q42" s="6">
        <v>0.19700000000000001</v>
      </c>
      <c r="R42" s="6">
        <v>3.1850000000000001</v>
      </c>
      <c r="S42" s="6">
        <v>-16.3</v>
      </c>
      <c r="T42" s="6">
        <v>2.34416</v>
      </c>
      <c r="U42" s="6">
        <v>4.3799999999999999E-2</v>
      </c>
      <c r="V42" s="6">
        <v>4.2</v>
      </c>
      <c r="W42" s="6">
        <v>0.26100000000000001</v>
      </c>
    </row>
    <row r="43" spans="1:23" x14ac:dyDescent="0.3">
      <c r="A43" s="7">
        <v>11</v>
      </c>
      <c r="B43" s="8" t="s">
        <v>129</v>
      </c>
      <c r="C43" s="8">
        <v>1.5</v>
      </c>
      <c r="D43" s="8" t="str">
        <f t="shared" si="0"/>
        <v>11,2010-2015,1,5</v>
      </c>
      <c r="E43" s="9">
        <v>6.6699999999999995E-2</v>
      </c>
      <c r="F43" s="9">
        <v>72</v>
      </c>
      <c r="G43" s="9">
        <v>0.47199999999999998</v>
      </c>
      <c r="H43" s="9">
        <v>3</v>
      </c>
      <c r="I43" s="9">
        <v>3.3</v>
      </c>
      <c r="J43" s="9">
        <v>-17.3</v>
      </c>
      <c r="K43" s="9">
        <v>5.1999999999999998E-2</v>
      </c>
      <c r="L43" s="9">
        <v>5.96</v>
      </c>
      <c r="M43" s="9">
        <v>-16.7</v>
      </c>
      <c r="N43" s="9">
        <v>4.01</v>
      </c>
      <c r="O43" s="9">
        <v>0.24</v>
      </c>
      <c r="P43" s="9">
        <v>-11</v>
      </c>
      <c r="Q43" s="9">
        <v>0.19700000000000001</v>
      </c>
      <c r="R43" s="9">
        <v>3.19774</v>
      </c>
      <c r="S43" s="9">
        <v>-10.199999999999999</v>
      </c>
      <c r="T43" s="9">
        <v>2.4205999999999999</v>
      </c>
      <c r="U43" s="9">
        <v>4.3400000000000001E-2</v>
      </c>
      <c r="V43" s="9">
        <v>2.9</v>
      </c>
      <c r="W43" s="9">
        <v>0.26100000000000001</v>
      </c>
    </row>
    <row r="44" spans="1:23" x14ac:dyDescent="0.3">
      <c r="A44" s="4">
        <v>11</v>
      </c>
      <c r="B44" s="5" t="s">
        <v>130</v>
      </c>
      <c r="C44" s="5">
        <v>1.5</v>
      </c>
      <c r="D44" s="5" t="str">
        <f t="shared" si="0"/>
        <v>11,2015-2020,1,5</v>
      </c>
      <c r="E44" s="6">
        <v>6.6699999999999995E-2</v>
      </c>
      <c r="F44" s="6">
        <v>72</v>
      </c>
      <c r="G44" s="6">
        <v>0.47199999999999998</v>
      </c>
      <c r="H44" s="6">
        <v>3</v>
      </c>
      <c r="I44" s="6">
        <v>3.3</v>
      </c>
      <c r="J44" s="6">
        <v>-17.3</v>
      </c>
      <c r="K44" s="6">
        <v>5.1999999999999998E-2</v>
      </c>
      <c r="L44" s="6">
        <v>5.91</v>
      </c>
      <c r="M44" s="6">
        <v>-15.6</v>
      </c>
      <c r="N44" s="6">
        <v>4.01</v>
      </c>
      <c r="O44" s="6">
        <v>0.24</v>
      </c>
      <c r="P44" s="6">
        <v>-11</v>
      </c>
      <c r="Q44" s="6">
        <v>0.19700000000000001</v>
      </c>
      <c r="R44" s="6">
        <v>3.1467800000000001</v>
      </c>
      <c r="S44" s="6">
        <v>-0.94</v>
      </c>
      <c r="T44" s="6">
        <v>2.4970400000000001</v>
      </c>
      <c r="U44" s="6">
        <v>3.4700000000000002E-2</v>
      </c>
      <c r="V44" s="6">
        <v>2.9</v>
      </c>
      <c r="W44" s="6">
        <v>0.26100000000000001</v>
      </c>
    </row>
    <row r="45" spans="1:23" x14ac:dyDescent="0.3">
      <c r="A45" s="7">
        <v>11</v>
      </c>
      <c r="B45" s="8" t="s">
        <v>131</v>
      </c>
      <c r="C45" s="8">
        <v>1.5</v>
      </c>
      <c r="D45" s="8" t="str">
        <f t="shared" si="0"/>
        <v>11,2020-,1,5</v>
      </c>
      <c r="E45" s="9">
        <v>6.6699999999999995E-2</v>
      </c>
      <c r="F45" s="9">
        <v>72</v>
      </c>
      <c r="G45" s="9">
        <v>0.47199999999999998</v>
      </c>
      <c r="H45" s="9">
        <v>3</v>
      </c>
      <c r="I45" s="9">
        <v>3.3</v>
      </c>
      <c r="J45" s="9">
        <v>-17.3</v>
      </c>
      <c r="K45" s="9">
        <v>5.1999999999999998E-2</v>
      </c>
      <c r="L45" s="9">
        <v>6.21</v>
      </c>
      <c r="M45" s="9">
        <v>-17.399999999999999</v>
      </c>
      <c r="N45" s="9">
        <v>4</v>
      </c>
      <c r="O45" s="9">
        <v>0.24</v>
      </c>
      <c r="P45" s="9">
        <v>-11</v>
      </c>
      <c r="Q45" s="9">
        <v>0.19700000000000001</v>
      </c>
      <c r="R45" s="9">
        <v>3.2741799999999999</v>
      </c>
      <c r="S45" s="9">
        <v>4.26</v>
      </c>
      <c r="T45" s="9">
        <v>2.5989599999999999</v>
      </c>
      <c r="U45" s="9">
        <v>2.7E-2</v>
      </c>
      <c r="V45" s="9">
        <v>4.0999999999999996</v>
      </c>
      <c r="W45" s="9">
        <v>0.26100000000000001</v>
      </c>
    </row>
    <row r="46" spans="1:23" x14ac:dyDescent="0.3">
      <c r="A46" s="4">
        <v>11</v>
      </c>
      <c r="B46" s="5">
        <v>-1920</v>
      </c>
      <c r="C46" s="5">
        <v>2</v>
      </c>
      <c r="D46" s="5" t="str">
        <f t="shared" si="0"/>
        <v>11,-1920,2</v>
      </c>
      <c r="E46" s="6">
        <v>0.48599999999999999</v>
      </c>
      <c r="F46" s="6">
        <v>28.6</v>
      </c>
      <c r="G46" s="6">
        <v>0.5</v>
      </c>
      <c r="H46" s="6">
        <v>2.6</v>
      </c>
      <c r="I46" s="6">
        <v>3.2</v>
      </c>
      <c r="J46" s="6">
        <v>-13.9</v>
      </c>
      <c r="K46" s="6">
        <v>5.1999999999999998E-2</v>
      </c>
      <c r="L46" s="6">
        <v>5.12</v>
      </c>
      <c r="M46" s="6">
        <v>-6.2</v>
      </c>
      <c r="N46" s="6">
        <v>4.01</v>
      </c>
      <c r="O46" s="6">
        <v>0.38300000000000001</v>
      </c>
      <c r="P46" s="6">
        <v>-6</v>
      </c>
      <c r="Q46" s="6">
        <v>0.29299999999999998</v>
      </c>
      <c r="R46" s="6">
        <v>2.8997799999999998</v>
      </c>
      <c r="S46" s="6">
        <v>-20.2</v>
      </c>
      <c r="T46" s="6">
        <v>1.58</v>
      </c>
      <c r="U46" s="6">
        <v>2.2100000000000002E-2</v>
      </c>
      <c r="V46" s="6">
        <v>6.2</v>
      </c>
      <c r="W46" s="6">
        <v>0.219</v>
      </c>
    </row>
    <row r="47" spans="1:23" x14ac:dyDescent="0.3">
      <c r="A47" s="7">
        <v>11</v>
      </c>
      <c r="B47" s="8" t="s">
        <v>111</v>
      </c>
      <c r="C47" s="8">
        <v>2</v>
      </c>
      <c r="D47" s="8" t="str">
        <f t="shared" si="0"/>
        <v>11,1920-1925,2</v>
      </c>
      <c r="E47" s="9">
        <v>0.39200000000000002</v>
      </c>
      <c r="F47" s="9">
        <v>38</v>
      </c>
      <c r="G47" s="9">
        <v>0.48599999999999999</v>
      </c>
      <c r="H47" s="9">
        <v>2.8</v>
      </c>
      <c r="I47" s="9">
        <v>1.5</v>
      </c>
      <c r="J47" s="9">
        <v>153.80000000000001</v>
      </c>
      <c r="K47" s="9">
        <v>5.1999999999999998E-2</v>
      </c>
      <c r="L47" s="9">
        <v>5.26</v>
      </c>
      <c r="M47" s="9">
        <v>-8.0399999999999991</v>
      </c>
      <c r="N47" s="9">
        <v>4.01</v>
      </c>
      <c r="O47" s="9">
        <v>0.37840000000000001</v>
      </c>
      <c r="P47" s="9">
        <v>-5.4</v>
      </c>
      <c r="Q47" s="9">
        <v>0.28299999999999997</v>
      </c>
      <c r="R47" s="9">
        <v>2.8176000000000001</v>
      </c>
      <c r="S47" s="9">
        <v>-18.100000000000001</v>
      </c>
      <c r="T47" s="9">
        <v>1.63</v>
      </c>
      <c r="U47" s="9">
        <v>2.5399999999999999E-2</v>
      </c>
      <c r="V47" s="9">
        <v>6.1</v>
      </c>
      <c r="W47" s="9">
        <v>0.219</v>
      </c>
    </row>
    <row r="48" spans="1:23" x14ac:dyDescent="0.3">
      <c r="A48" s="4">
        <v>11</v>
      </c>
      <c r="B48" s="5" t="s">
        <v>112</v>
      </c>
      <c r="C48" s="5">
        <v>2</v>
      </c>
      <c r="D48" s="5" t="str">
        <f t="shared" si="0"/>
        <v>11,1925-1930,2</v>
      </c>
      <c r="E48" s="6">
        <v>0.34599999999999997</v>
      </c>
      <c r="F48" s="6">
        <v>40.6</v>
      </c>
      <c r="G48" s="6">
        <v>0.49399999999999999</v>
      </c>
      <c r="H48" s="6">
        <v>2.7</v>
      </c>
      <c r="I48" s="6">
        <v>3.2</v>
      </c>
      <c r="J48" s="6">
        <v>-10.9</v>
      </c>
      <c r="K48" s="6">
        <v>5.1999999999999998E-2</v>
      </c>
      <c r="L48" s="6">
        <v>4.84</v>
      </c>
      <c r="M48" s="6">
        <v>-4.1900000000000004</v>
      </c>
      <c r="N48" s="6">
        <v>4.0199999999999996</v>
      </c>
      <c r="O48" s="6">
        <v>0.37769999999999998</v>
      </c>
      <c r="P48" s="6">
        <v>-5.3</v>
      </c>
      <c r="Q48" s="6">
        <v>0.28100000000000003</v>
      </c>
      <c r="R48" s="6">
        <v>2.8176000000000001</v>
      </c>
      <c r="S48" s="6">
        <v>-15.9</v>
      </c>
      <c r="T48" s="6">
        <v>1.63</v>
      </c>
      <c r="U48" s="6">
        <v>1.9800000000000002E-2</v>
      </c>
      <c r="V48" s="6">
        <v>6.7</v>
      </c>
      <c r="W48" s="6">
        <v>0.219</v>
      </c>
    </row>
    <row r="49" spans="1:23" x14ac:dyDescent="0.3">
      <c r="A49" s="7">
        <v>11</v>
      </c>
      <c r="B49" s="8" t="s">
        <v>113</v>
      </c>
      <c r="C49" s="8">
        <v>2</v>
      </c>
      <c r="D49" s="8" t="str">
        <f t="shared" si="0"/>
        <v>11,1930-1935,2</v>
      </c>
      <c r="E49" s="9">
        <v>0.36799999999999999</v>
      </c>
      <c r="F49" s="9">
        <v>36.6</v>
      </c>
      <c r="G49" s="9">
        <v>0.47099999999999997</v>
      </c>
      <c r="H49" s="9">
        <v>2.7</v>
      </c>
      <c r="I49" s="9">
        <v>3</v>
      </c>
      <c r="J49" s="9">
        <v>-2.5</v>
      </c>
      <c r="K49" s="9">
        <v>5.1999999999999998E-2</v>
      </c>
      <c r="L49" s="9">
        <v>4.97</v>
      </c>
      <c r="M49" s="9">
        <v>-5.08</v>
      </c>
      <c r="N49" s="9">
        <v>4.01</v>
      </c>
      <c r="O49" s="9">
        <v>0.38150000000000001</v>
      </c>
      <c r="P49" s="9">
        <v>-5.7</v>
      </c>
      <c r="Q49" s="9">
        <v>0.28299999999999997</v>
      </c>
      <c r="R49" s="9">
        <v>2.61802</v>
      </c>
      <c r="S49" s="9">
        <v>-6.63</v>
      </c>
      <c r="T49" s="9">
        <v>1.62</v>
      </c>
      <c r="U49" s="9">
        <v>3.1800000000000002E-2</v>
      </c>
      <c r="V49" s="9">
        <v>5.8</v>
      </c>
      <c r="W49" s="9">
        <v>0.219</v>
      </c>
    </row>
    <row r="50" spans="1:23" x14ac:dyDescent="0.3">
      <c r="A50" s="4">
        <v>11</v>
      </c>
      <c r="B50" s="5" t="s">
        <v>114</v>
      </c>
      <c r="C50" s="5">
        <v>2</v>
      </c>
      <c r="D50" s="5" t="str">
        <f t="shared" si="0"/>
        <v>11,1935-1940,2</v>
      </c>
      <c r="E50" s="6">
        <v>0.312</v>
      </c>
      <c r="F50" s="6">
        <v>44.2</v>
      </c>
      <c r="G50" s="6">
        <v>0.47399999999999998</v>
      </c>
      <c r="H50" s="6">
        <v>2.7</v>
      </c>
      <c r="I50" s="6">
        <v>3.1</v>
      </c>
      <c r="J50" s="6">
        <v>-3.2</v>
      </c>
      <c r="K50" s="6">
        <v>5.1999999999999998E-2</v>
      </c>
      <c r="L50" s="6">
        <v>5.18</v>
      </c>
      <c r="M50" s="6">
        <v>-7.42</v>
      </c>
      <c r="N50" s="6">
        <v>4</v>
      </c>
      <c r="O50" s="6">
        <v>0.38750000000000001</v>
      </c>
      <c r="P50" s="6">
        <v>-5.9</v>
      </c>
      <c r="Q50" s="6">
        <v>0.27800000000000002</v>
      </c>
      <c r="R50" s="6">
        <v>2.7823799999999999</v>
      </c>
      <c r="S50" s="6">
        <v>-14.2</v>
      </c>
      <c r="T50" s="6">
        <v>1.63</v>
      </c>
      <c r="U50" s="6">
        <v>3.0499999999999999E-2</v>
      </c>
      <c r="V50" s="6">
        <v>5.7</v>
      </c>
      <c r="W50" s="6">
        <v>0.219</v>
      </c>
    </row>
    <row r="51" spans="1:23" x14ac:dyDescent="0.3">
      <c r="A51" s="7">
        <v>11</v>
      </c>
      <c r="B51" s="8" t="s">
        <v>115</v>
      </c>
      <c r="C51" s="8">
        <v>2</v>
      </c>
      <c r="D51" s="8" t="str">
        <f t="shared" si="0"/>
        <v>11,1940-1945,2</v>
      </c>
      <c r="E51" s="9">
        <v>0.32900000000000001</v>
      </c>
      <c r="F51" s="9">
        <v>43.2</v>
      </c>
      <c r="G51" s="9">
        <v>0.46100000000000002</v>
      </c>
      <c r="H51" s="9">
        <v>2.7</v>
      </c>
      <c r="I51" s="9">
        <v>3.1</v>
      </c>
      <c r="J51" s="9">
        <v>0</v>
      </c>
      <c r="K51" s="9">
        <v>5.1999999999999998E-2</v>
      </c>
      <c r="L51" s="9">
        <v>5.77</v>
      </c>
      <c r="M51" s="9">
        <v>-12.6</v>
      </c>
      <c r="N51" s="9">
        <v>4.0199999999999996</v>
      </c>
      <c r="O51" s="9">
        <v>0.38119999999999998</v>
      </c>
      <c r="P51" s="9">
        <v>-5.9</v>
      </c>
      <c r="Q51" s="9">
        <v>0.27800000000000002</v>
      </c>
      <c r="R51" s="9">
        <v>2.5828000000000002</v>
      </c>
      <c r="S51" s="9">
        <v>-2.97</v>
      </c>
      <c r="T51" s="9">
        <v>1.64</v>
      </c>
      <c r="U51" s="9">
        <v>3.5799999999999998E-2</v>
      </c>
      <c r="V51" s="9">
        <v>4.8</v>
      </c>
      <c r="W51" s="9">
        <v>0.219</v>
      </c>
    </row>
    <row r="52" spans="1:23" x14ac:dyDescent="0.3">
      <c r="A52" s="4">
        <v>11</v>
      </c>
      <c r="B52" s="5" t="s">
        <v>116</v>
      </c>
      <c r="C52" s="5">
        <v>2</v>
      </c>
      <c r="D52" s="5" t="str">
        <f t="shared" si="0"/>
        <v>11,1945-1950,2</v>
      </c>
      <c r="E52" s="6">
        <v>0.158</v>
      </c>
      <c r="F52" s="6">
        <v>66.2</v>
      </c>
      <c r="G52" s="6">
        <v>0.49199999999999999</v>
      </c>
      <c r="H52" s="6">
        <v>2.7</v>
      </c>
      <c r="I52" s="6">
        <v>3</v>
      </c>
      <c r="J52" s="6">
        <v>0.6</v>
      </c>
      <c r="K52" s="6">
        <v>5.1999999999999998E-2</v>
      </c>
      <c r="L52" s="6">
        <v>5.57</v>
      </c>
      <c r="M52" s="6">
        <v>-10.8</v>
      </c>
      <c r="N52" s="6">
        <v>4</v>
      </c>
      <c r="O52" s="6">
        <v>0.37740000000000001</v>
      </c>
      <c r="P52" s="6">
        <v>-5.3</v>
      </c>
      <c r="Q52" s="6">
        <v>0.28299999999999997</v>
      </c>
      <c r="R52" s="6">
        <v>2.7236799999999999</v>
      </c>
      <c r="S52" s="6">
        <v>-9.2799999999999994</v>
      </c>
      <c r="T52" s="6">
        <v>1.64</v>
      </c>
      <c r="U52" s="6">
        <v>3.3599999999999998E-2</v>
      </c>
      <c r="V52" s="6">
        <v>5</v>
      </c>
      <c r="W52" s="6">
        <v>0.219</v>
      </c>
    </row>
    <row r="53" spans="1:23" x14ac:dyDescent="0.3">
      <c r="A53" s="7">
        <v>11</v>
      </c>
      <c r="B53" s="8" t="s">
        <v>117</v>
      </c>
      <c r="C53" s="8">
        <v>2</v>
      </c>
      <c r="D53" s="8" t="str">
        <f t="shared" si="0"/>
        <v>11,1950-1955,2</v>
      </c>
      <c r="E53" s="9">
        <v>0.22700000000000001</v>
      </c>
      <c r="F53" s="9">
        <v>58.3</v>
      </c>
      <c r="G53" s="9">
        <v>0.51900000000000002</v>
      </c>
      <c r="H53" s="9">
        <v>2.7</v>
      </c>
      <c r="I53" s="9">
        <v>3.1</v>
      </c>
      <c r="J53" s="9">
        <v>-4.5999999999999996</v>
      </c>
      <c r="K53" s="9">
        <v>5.1999999999999998E-2</v>
      </c>
      <c r="L53" s="9">
        <v>5.94</v>
      </c>
      <c r="M53" s="9">
        <v>-14.4</v>
      </c>
      <c r="N53" s="9">
        <v>4.0199999999999996</v>
      </c>
      <c r="O53" s="9">
        <v>0.36980000000000002</v>
      </c>
      <c r="P53" s="9">
        <v>-4.5</v>
      </c>
      <c r="Q53" s="9">
        <v>0.28299999999999997</v>
      </c>
      <c r="R53" s="9">
        <v>2.8528199999999999</v>
      </c>
      <c r="S53" s="9">
        <v>-15.2</v>
      </c>
      <c r="T53" s="9">
        <v>1.66</v>
      </c>
      <c r="U53" s="9">
        <v>3.3700000000000001E-2</v>
      </c>
      <c r="V53" s="9">
        <v>5.0999999999999996</v>
      </c>
      <c r="W53" s="9">
        <v>0.219</v>
      </c>
    </row>
    <row r="54" spans="1:23" x14ac:dyDescent="0.3">
      <c r="A54" s="4">
        <v>11</v>
      </c>
      <c r="B54" s="5" t="s">
        <v>118</v>
      </c>
      <c r="C54" s="5">
        <v>2</v>
      </c>
      <c r="D54" s="5" t="str">
        <f t="shared" si="0"/>
        <v>11,1955-1960,2</v>
      </c>
      <c r="E54" s="6">
        <v>0.29499999999999998</v>
      </c>
      <c r="F54" s="6">
        <v>49.4</v>
      </c>
      <c r="G54" s="6">
        <v>0.50600000000000001</v>
      </c>
      <c r="H54" s="6">
        <v>2.8</v>
      </c>
      <c r="I54" s="6">
        <v>3.1</v>
      </c>
      <c r="J54" s="6">
        <v>-0.7</v>
      </c>
      <c r="K54" s="6">
        <v>5.1999999999999998E-2</v>
      </c>
      <c r="L54" s="6">
        <v>5.79</v>
      </c>
      <c r="M54" s="6">
        <v>-13.3</v>
      </c>
      <c r="N54" s="6">
        <v>4.01</v>
      </c>
      <c r="O54" s="6">
        <v>0.37190000000000001</v>
      </c>
      <c r="P54" s="6">
        <v>-4.8</v>
      </c>
      <c r="Q54" s="6">
        <v>0.28299999999999997</v>
      </c>
      <c r="R54" s="6">
        <v>2.67672</v>
      </c>
      <c r="S54" s="6">
        <v>-4.87</v>
      </c>
      <c r="T54" s="6">
        <v>1.66</v>
      </c>
      <c r="U54" s="6">
        <v>2.92E-2</v>
      </c>
      <c r="V54" s="6">
        <v>5.0999999999999996</v>
      </c>
      <c r="W54" s="6">
        <v>0.219</v>
      </c>
    </row>
    <row r="55" spans="1:23" x14ac:dyDescent="0.3">
      <c r="A55" s="7">
        <v>11</v>
      </c>
      <c r="B55" s="8" t="s">
        <v>119</v>
      </c>
      <c r="C55" s="8">
        <v>2</v>
      </c>
      <c r="D55" s="8" t="str">
        <f t="shared" si="0"/>
        <v>11,1960-1965,2</v>
      </c>
      <c r="E55" s="9">
        <v>0.38500000000000001</v>
      </c>
      <c r="F55" s="9">
        <v>44.2</v>
      </c>
      <c r="G55" s="9">
        <v>0.51400000000000001</v>
      </c>
      <c r="H55" s="9">
        <v>2.8</v>
      </c>
      <c r="I55" s="9">
        <v>3</v>
      </c>
      <c r="J55" s="9">
        <v>3.8</v>
      </c>
      <c r="K55" s="9">
        <v>5.1999999999999998E-2</v>
      </c>
      <c r="L55" s="9">
        <v>6.24</v>
      </c>
      <c r="M55" s="9">
        <v>-18.2</v>
      </c>
      <c r="N55" s="9">
        <v>4.0199999999999996</v>
      </c>
      <c r="O55" s="9">
        <v>0.36449999999999999</v>
      </c>
      <c r="P55" s="9">
        <v>-3.9</v>
      </c>
      <c r="Q55" s="9">
        <v>0.29199999999999998</v>
      </c>
      <c r="R55" s="9">
        <v>2.8410799999999998</v>
      </c>
      <c r="S55" s="9">
        <v>-13.7</v>
      </c>
      <c r="T55" s="9">
        <v>1.67</v>
      </c>
      <c r="U55" s="9">
        <v>3.2199999999999999E-2</v>
      </c>
      <c r="V55" s="9">
        <v>4.5999999999999996</v>
      </c>
      <c r="W55" s="9">
        <v>0.219</v>
      </c>
    </row>
    <row r="56" spans="1:23" x14ac:dyDescent="0.3">
      <c r="A56" s="4">
        <v>11</v>
      </c>
      <c r="B56" s="5" t="s">
        <v>120</v>
      </c>
      <c r="C56" s="5">
        <v>2</v>
      </c>
      <c r="D56" s="5" t="str">
        <f t="shared" si="0"/>
        <v>11,1965-1970,2</v>
      </c>
      <c r="E56" s="6">
        <v>0.42899999999999999</v>
      </c>
      <c r="F56" s="6">
        <v>47.1</v>
      </c>
      <c r="G56" s="6">
        <v>0.496</v>
      </c>
      <c r="H56" s="6">
        <v>2.8</v>
      </c>
      <c r="I56" s="6">
        <v>3</v>
      </c>
      <c r="J56" s="6">
        <v>4.8</v>
      </c>
      <c r="K56" s="6">
        <v>5.1999999999999998E-2</v>
      </c>
      <c r="L56" s="6">
        <v>6.72</v>
      </c>
      <c r="M56" s="6">
        <v>-24</v>
      </c>
      <c r="N56" s="6">
        <v>4.03</v>
      </c>
      <c r="O56" s="6">
        <v>0.3745</v>
      </c>
      <c r="P56" s="6">
        <v>-5.4</v>
      </c>
      <c r="Q56" s="6">
        <v>0.29699999999999999</v>
      </c>
      <c r="R56" s="6">
        <v>2.74716</v>
      </c>
      <c r="S56" s="6">
        <v>-12.7</v>
      </c>
      <c r="T56" s="6">
        <v>1.67</v>
      </c>
      <c r="U56" s="6">
        <v>2.7799999999999998E-2</v>
      </c>
      <c r="V56" s="6">
        <v>4.7</v>
      </c>
      <c r="W56" s="6">
        <v>0.219</v>
      </c>
    </row>
    <row r="57" spans="1:23" x14ac:dyDescent="0.3">
      <c r="A57" s="7">
        <v>11</v>
      </c>
      <c r="B57" s="8" t="s">
        <v>121</v>
      </c>
      <c r="C57" s="8">
        <v>2</v>
      </c>
      <c r="D57" s="8" t="str">
        <f t="shared" si="0"/>
        <v>11,1970-1975,2</v>
      </c>
      <c r="E57" s="9">
        <v>0.40200000000000002</v>
      </c>
      <c r="F57" s="9">
        <v>66</v>
      </c>
      <c r="G57" s="9">
        <v>0.49299999999999999</v>
      </c>
      <c r="H57" s="9">
        <v>2.7</v>
      </c>
      <c r="I57" s="9">
        <v>3</v>
      </c>
      <c r="J57" s="9">
        <v>1.3</v>
      </c>
      <c r="K57" s="9">
        <v>5.1999999999999998E-2</v>
      </c>
      <c r="L57" s="9">
        <v>6.59</v>
      </c>
      <c r="M57" s="9">
        <v>-22.9</v>
      </c>
      <c r="N57" s="9">
        <v>4.05</v>
      </c>
      <c r="O57" s="9">
        <v>0.37640000000000001</v>
      </c>
      <c r="P57" s="9">
        <v>-5.3</v>
      </c>
      <c r="Q57" s="9">
        <v>0.31</v>
      </c>
      <c r="R57" s="9">
        <v>2.7706400000000002</v>
      </c>
      <c r="S57" s="9">
        <v>-19.3</v>
      </c>
      <c r="T57" s="9">
        <v>1.68</v>
      </c>
      <c r="U57" s="9">
        <v>3.0599999999999999E-2</v>
      </c>
      <c r="V57" s="9">
        <v>4.0999999999999996</v>
      </c>
      <c r="W57" s="9">
        <v>0.219</v>
      </c>
    </row>
    <row r="58" spans="1:23" x14ac:dyDescent="0.3">
      <c r="A58" s="4">
        <v>11</v>
      </c>
      <c r="B58" s="5" t="s">
        <v>122</v>
      </c>
      <c r="C58" s="5">
        <v>2</v>
      </c>
      <c r="D58" s="5" t="str">
        <f t="shared" si="0"/>
        <v>11,1975-1980,2</v>
      </c>
      <c r="E58" s="6">
        <v>0.442</v>
      </c>
      <c r="F58" s="6">
        <v>44.2</v>
      </c>
      <c r="G58" s="6">
        <v>0.45800000000000002</v>
      </c>
      <c r="H58" s="6">
        <v>2.8</v>
      </c>
      <c r="I58" s="6">
        <v>2.9</v>
      </c>
      <c r="J58" s="6">
        <v>14.1</v>
      </c>
      <c r="K58" s="6">
        <v>5.1999999999999998E-2</v>
      </c>
      <c r="L58" s="6">
        <v>6.42</v>
      </c>
      <c r="M58" s="6">
        <v>-21.1</v>
      </c>
      <c r="N58" s="6">
        <v>4.01</v>
      </c>
      <c r="O58" s="6">
        <v>0.37669999999999998</v>
      </c>
      <c r="P58" s="6">
        <v>-5.4</v>
      </c>
      <c r="Q58" s="6">
        <v>0.316</v>
      </c>
      <c r="R58" s="6">
        <v>2.74716</v>
      </c>
      <c r="S58" s="6">
        <v>-17.7</v>
      </c>
      <c r="T58" s="6">
        <v>1.67</v>
      </c>
      <c r="U58" s="6">
        <v>3.39E-2</v>
      </c>
      <c r="V58" s="6">
        <v>3.6</v>
      </c>
      <c r="W58" s="6">
        <v>0.219</v>
      </c>
    </row>
    <row r="59" spans="1:23" x14ac:dyDescent="0.3">
      <c r="A59" s="7">
        <v>11</v>
      </c>
      <c r="B59" s="8" t="s">
        <v>123</v>
      </c>
      <c r="C59" s="8">
        <v>2</v>
      </c>
      <c r="D59" s="8" t="str">
        <f t="shared" si="0"/>
        <v>11,1980-1985,2</v>
      </c>
      <c r="E59" s="9">
        <v>0.42399999999999999</v>
      </c>
      <c r="F59" s="9">
        <v>32.1</v>
      </c>
      <c r="G59" s="9">
        <v>0.46500000000000002</v>
      </c>
      <c r="H59" s="9">
        <v>2.5</v>
      </c>
      <c r="I59" s="9">
        <v>3</v>
      </c>
      <c r="J59" s="9">
        <v>17.600000000000001</v>
      </c>
      <c r="K59" s="9">
        <v>5.1999999999999998E-2</v>
      </c>
      <c r="L59" s="9">
        <v>6.15</v>
      </c>
      <c r="M59" s="9">
        <v>-18.399999999999999</v>
      </c>
      <c r="N59" s="9">
        <v>4.01</v>
      </c>
      <c r="O59" s="9">
        <v>0.4753</v>
      </c>
      <c r="P59" s="9">
        <v>-19.3</v>
      </c>
      <c r="Q59" s="9">
        <v>0.32</v>
      </c>
      <c r="R59" s="9">
        <v>2.86456</v>
      </c>
      <c r="S59" s="9">
        <v>-18.899999999999999</v>
      </c>
      <c r="T59" s="9">
        <v>1.66</v>
      </c>
      <c r="U59" s="9">
        <v>3.0200000000000001E-2</v>
      </c>
      <c r="V59" s="9">
        <v>4.3</v>
      </c>
      <c r="W59" s="9">
        <v>0.219</v>
      </c>
    </row>
    <row r="60" spans="1:23" x14ac:dyDescent="0.3">
      <c r="A60" s="4">
        <v>11</v>
      </c>
      <c r="B60" s="5" t="s">
        <v>124</v>
      </c>
      <c r="C60" s="5">
        <v>2</v>
      </c>
      <c r="D60" s="5" t="str">
        <f t="shared" si="0"/>
        <v>11,1985-1990,2</v>
      </c>
      <c r="E60" s="6">
        <v>0.35899999999999999</v>
      </c>
      <c r="F60" s="6">
        <v>40.700000000000003</v>
      </c>
      <c r="G60" s="6">
        <v>0.5</v>
      </c>
      <c r="H60" s="6">
        <v>2.6</v>
      </c>
      <c r="I60" s="6">
        <v>3.1</v>
      </c>
      <c r="J60" s="6">
        <v>8.3000000000000007</v>
      </c>
      <c r="K60" s="6">
        <v>5.1999999999999998E-2</v>
      </c>
      <c r="L60" s="6">
        <v>6</v>
      </c>
      <c r="M60" s="6">
        <v>-16.899999999999999</v>
      </c>
      <c r="N60" s="6">
        <v>4.0199999999999996</v>
      </c>
      <c r="O60" s="6">
        <v>0.37440000000000001</v>
      </c>
      <c r="P60" s="6">
        <v>2.5</v>
      </c>
      <c r="Q60" s="6">
        <v>0.32700000000000001</v>
      </c>
      <c r="R60" s="6">
        <v>2.8293400000000002</v>
      </c>
      <c r="S60" s="6">
        <v>-18</v>
      </c>
      <c r="T60" s="6">
        <v>1.67</v>
      </c>
      <c r="U60" s="6">
        <v>3.6900000000000002E-2</v>
      </c>
      <c r="V60" s="6">
        <v>4.9000000000000004</v>
      </c>
      <c r="W60" s="6">
        <v>0.219</v>
      </c>
    </row>
    <row r="61" spans="1:23" x14ac:dyDescent="0.3">
      <c r="A61" s="7">
        <v>11</v>
      </c>
      <c r="B61" s="8" t="s">
        <v>125</v>
      </c>
      <c r="C61" s="8">
        <v>2</v>
      </c>
      <c r="D61" s="8" t="str">
        <f t="shared" si="0"/>
        <v>11,1990-1995,2</v>
      </c>
      <c r="E61" s="9">
        <v>0.376</v>
      </c>
      <c r="F61" s="9">
        <v>38</v>
      </c>
      <c r="G61" s="9">
        <v>0.502</v>
      </c>
      <c r="H61" s="9">
        <v>2.6</v>
      </c>
      <c r="I61" s="9">
        <v>3.2</v>
      </c>
      <c r="J61" s="9">
        <v>1.1000000000000001</v>
      </c>
      <c r="K61" s="9">
        <v>5.1999999999999998E-2</v>
      </c>
      <c r="L61" s="9">
        <v>6.04</v>
      </c>
      <c r="M61" s="9">
        <v>-17</v>
      </c>
      <c r="N61" s="9">
        <v>4.04</v>
      </c>
      <c r="O61" s="9">
        <v>0.35970000000000002</v>
      </c>
      <c r="P61" s="9">
        <v>3.9</v>
      </c>
      <c r="Q61" s="9">
        <v>0.32</v>
      </c>
      <c r="R61" s="9">
        <v>2.7706400000000002</v>
      </c>
      <c r="S61" s="9">
        <v>-15.3</v>
      </c>
      <c r="T61" s="9">
        <v>1.69</v>
      </c>
      <c r="U61" s="9">
        <v>3.6999999999999998E-2</v>
      </c>
      <c r="V61" s="9">
        <v>5.9</v>
      </c>
      <c r="W61" s="9">
        <v>0.219</v>
      </c>
    </row>
    <row r="62" spans="1:23" x14ac:dyDescent="0.3">
      <c r="A62" s="4">
        <v>11</v>
      </c>
      <c r="B62" s="5" t="s">
        <v>126</v>
      </c>
      <c r="C62" s="5">
        <v>2</v>
      </c>
      <c r="D62" s="5" t="str">
        <f t="shared" si="0"/>
        <v>11,1995-2000,2</v>
      </c>
      <c r="E62" s="6">
        <v>0.51500000000000001</v>
      </c>
      <c r="F62" s="6">
        <v>26.4</v>
      </c>
      <c r="G62" s="6">
        <v>0.52</v>
      </c>
      <c r="H62" s="6">
        <v>2.6</v>
      </c>
      <c r="I62" s="6">
        <v>3.3</v>
      </c>
      <c r="J62" s="6">
        <v>-8.6</v>
      </c>
      <c r="K62" s="6">
        <v>5.1999999999999998E-2</v>
      </c>
      <c r="L62" s="6">
        <v>5.86</v>
      </c>
      <c r="M62" s="6">
        <v>-15.5</v>
      </c>
      <c r="N62" s="6">
        <v>4.05</v>
      </c>
      <c r="O62" s="6">
        <v>0.33710000000000001</v>
      </c>
      <c r="P62" s="6">
        <v>-1.7</v>
      </c>
      <c r="Q62" s="6">
        <v>0.222</v>
      </c>
      <c r="R62" s="6">
        <v>2.8763000000000001</v>
      </c>
      <c r="S62" s="6">
        <v>-19.399999999999999</v>
      </c>
      <c r="T62" s="6">
        <v>1.74</v>
      </c>
      <c r="U62" s="6">
        <v>4.7399999999999998E-2</v>
      </c>
      <c r="V62" s="6">
        <v>4.4000000000000004</v>
      </c>
      <c r="W62" s="6">
        <v>0.219</v>
      </c>
    </row>
    <row r="63" spans="1:23" x14ac:dyDescent="0.3">
      <c r="A63" s="7">
        <v>11</v>
      </c>
      <c r="B63" s="8" t="s">
        <v>127</v>
      </c>
      <c r="C63" s="8">
        <v>2</v>
      </c>
      <c r="D63" s="8" t="str">
        <f t="shared" si="0"/>
        <v>11,2000-2005,2</v>
      </c>
      <c r="E63" s="9">
        <v>0.52700000000000002</v>
      </c>
      <c r="F63" s="9">
        <v>19.3</v>
      </c>
      <c r="G63" s="9">
        <v>0.50800000000000001</v>
      </c>
      <c r="H63" s="9">
        <v>2.7</v>
      </c>
      <c r="I63" s="9">
        <v>3.4</v>
      </c>
      <c r="J63" s="9">
        <v>-15.2</v>
      </c>
      <c r="K63" s="9">
        <v>5.1999999999999998E-2</v>
      </c>
      <c r="L63" s="9">
        <v>5.79</v>
      </c>
      <c r="M63" s="9">
        <v>-14.8</v>
      </c>
      <c r="N63" s="9">
        <v>4.04</v>
      </c>
      <c r="O63" s="9">
        <v>0.36080000000000001</v>
      </c>
      <c r="P63" s="9">
        <v>-3.4</v>
      </c>
      <c r="Q63" s="9">
        <v>0.28399999999999997</v>
      </c>
      <c r="R63" s="9">
        <v>2.8528199999999999</v>
      </c>
      <c r="S63" s="9">
        <v>-13.7</v>
      </c>
      <c r="T63" s="9">
        <v>1.81</v>
      </c>
      <c r="U63" s="9">
        <v>4.3700000000000003E-2</v>
      </c>
      <c r="V63" s="9">
        <v>4.7</v>
      </c>
      <c r="W63" s="9">
        <v>0.219</v>
      </c>
    </row>
    <row r="64" spans="1:23" x14ac:dyDescent="0.3">
      <c r="A64" s="4">
        <v>11</v>
      </c>
      <c r="B64" s="5" t="s">
        <v>128</v>
      </c>
      <c r="C64" s="5">
        <v>2</v>
      </c>
      <c r="D64" s="5" t="str">
        <f t="shared" si="0"/>
        <v>11,2005-2010,2</v>
      </c>
      <c r="E64" s="6">
        <v>0.498</v>
      </c>
      <c r="F64" s="6">
        <v>20.7</v>
      </c>
      <c r="G64" s="6">
        <v>0.503</v>
      </c>
      <c r="H64" s="6">
        <v>2.8</v>
      </c>
      <c r="I64" s="6">
        <v>3.6</v>
      </c>
      <c r="J64" s="6">
        <v>-32.200000000000003</v>
      </c>
      <c r="K64" s="6">
        <v>5.1999999999999998E-2</v>
      </c>
      <c r="L64" s="6">
        <v>5.99</v>
      </c>
      <c r="M64" s="6">
        <v>-16.600000000000001</v>
      </c>
      <c r="N64" s="6">
        <v>4.03</v>
      </c>
      <c r="O64" s="6">
        <v>0.36780000000000002</v>
      </c>
      <c r="P64" s="6">
        <v>-3.5</v>
      </c>
      <c r="Q64" s="6">
        <v>0.3</v>
      </c>
      <c r="R64" s="6">
        <v>2.9350000000000001</v>
      </c>
      <c r="S64" s="6">
        <v>-16.3</v>
      </c>
      <c r="T64" s="6">
        <v>1.84</v>
      </c>
      <c r="U64" s="6">
        <v>4.3799999999999999E-2</v>
      </c>
      <c r="V64" s="6">
        <v>4.2</v>
      </c>
      <c r="W64" s="6">
        <v>0.219</v>
      </c>
    </row>
    <row r="65" spans="1:23" x14ac:dyDescent="0.3">
      <c r="A65" s="7">
        <v>11</v>
      </c>
      <c r="B65" s="8" t="s">
        <v>129</v>
      </c>
      <c r="C65" s="8">
        <v>2</v>
      </c>
      <c r="D65" s="8" t="str">
        <f t="shared" si="0"/>
        <v>11,2010-2015,2</v>
      </c>
      <c r="E65" s="9">
        <v>0.497</v>
      </c>
      <c r="F65" s="9">
        <v>16.5</v>
      </c>
      <c r="G65" s="9">
        <v>0.48699999999999999</v>
      </c>
      <c r="H65" s="9">
        <v>2.9</v>
      </c>
      <c r="I65" s="9">
        <v>3.7</v>
      </c>
      <c r="J65" s="9">
        <v>-33.6</v>
      </c>
      <c r="K65" s="9">
        <v>5.1999999999999998E-2</v>
      </c>
      <c r="L65" s="9">
        <v>5.96</v>
      </c>
      <c r="M65" s="9">
        <v>-16.7</v>
      </c>
      <c r="N65" s="9">
        <v>4.01</v>
      </c>
      <c r="O65" s="9">
        <v>0.36030000000000001</v>
      </c>
      <c r="P65" s="9">
        <v>-1.3</v>
      </c>
      <c r="Q65" s="9">
        <v>0.30099999999999999</v>
      </c>
      <c r="R65" s="9">
        <v>2.9467400000000001</v>
      </c>
      <c r="S65" s="9">
        <v>-10.199999999999999</v>
      </c>
      <c r="T65" s="9">
        <v>1.9</v>
      </c>
      <c r="U65" s="9">
        <v>4.3400000000000001E-2</v>
      </c>
      <c r="V65" s="9">
        <v>2.9</v>
      </c>
      <c r="W65" s="9">
        <v>0.219</v>
      </c>
    </row>
    <row r="66" spans="1:23" x14ac:dyDescent="0.3">
      <c r="A66" s="4">
        <v>11</v>
      </c>
      <c r="B66" s="5" t="s">
        <v>130</v>
      </c>
      <c r="C66" s="5">
        <v>2</v>
      </c>
      <c r="D66" s="5" t="str">
        <f t="shared" si="0"/>
        <v>11,2015-2020,2</v>
      </c>
      <c r="E66" s="6">
        <v>0.52300000000000002</v>
      </c>
      <c r="F66" s="6">
        <v>12.1</v>
      </c>
      <c r="G66" s="6">
        <v>0.49399999999999999</v>
      </c>
      <c r="H66" s="6">
        <v>3</v>
      </c>
      <c r="I66" s="6">
        <v>3.8</v>
      </c>
      <c r="J66" s="6">
        <v>-22.1</v>
      </c>
      <c r="K66" s="6">
        <v>5.1999999999999998E-2</v>
      </c>
      <c r="L66" s="6">
        <v>5.91</v>
      </c>
      <c r="M66" s="6">
        <v>-15.6</v>
      </c>
      <c r="N66" s="6">
        <v>4.01</v>
      </c>
      <c r="O66" s="6">
        <v>0.3695</v>
      </c>
      <c r="P66" s="6">
        <v>-3.3</v>
      </c>
      <c r="Q66" s="6">
        <v>0.27500000000000002</v>
      </c>
      <c r="R66" s="6">
        <v>2.8997799999999998</v>
      </c>
      <c r="S66" s="6">
        <v>-0.94</v>
      </c>
      <c r="T66" s="6">
        <v>1.96</v>
      </c>
      <c r="U66" s="6">
        <v>3.4700000000000002E-2</v>
      </c>
      <c r="V66" s="6">
        <v>2.9</v>
      </c>
      <c r="W66" s="6">
        <v>0.219</v>
      </c>
    </row>
    <row r="67" spans="1:23" x14ac:dyDescent="0.3">
      <c r="A67" s="7">
        <v>11</v>
      </c>
      <c r="B67" s="8" t="s">
        <v>131</v>
      </c>
      <c r="C67" s="8">
        <v>2</v>
      </c>
      <c r="D67" s="8" t="str">
        <f t="shared" ref="D67:D130" si="1">CONCATENATE(A67,",",B67,",",C67)</f>
        <v>11,2020-,2</v>
      </c>
      <c r="E67" s="9">
        <v>0.56499999999999995</v>
      </c>
      <c r="F67" s="9">
        <v>2.75</v>
      </c>
      <c r="G67" s="9">
        <v>0.496</v>
      </c>
      <c r="H67" s="9">
        <v>3.1</v>
      </c>
      <c r="I67" s="9">
        <v>4</v>
      </c>
      <c r="J67" s="9">
        <v>-11.4</v>
      </c>
      <c r="K67" s="9">
        <v>5.1999999999999998E-2</v>
      </c>
      <c r="L67" s="9">
        <v>6.21</v>
      </c>
      <c r="M67" s="9">
        <v>-17.399999999999999</v>
      </c>
      <c r="N67" s="9">
        <v>4</v>
      </c>
      <c r="O67" s="9">
        <v>0.37869999999999998</v>
      </c>
      <c r="P67" s="9">
        <v>-7.6</v>
      </c>
      <c r="Q67" s="9">
        <v>0.16300000000000001</v>
      </c>
      <c r="R67" s="9">
        <v>3.0171800000000002</v>
      </c>
      <c r="S67" s="9">
        <v>4.26</v>
      </c>
      <c r="T67" s="9">
        <v>2.04</v>
      </c>
      <c r="U67" s="9">
        <v>2.7E-2</v>
      </c>
      <c r="V67" s="9">
        <v>4.0999999999999996</v>
      </c>
      <c r="W67" s="9">
        <v>0.219</v>
      </c>
    </row>
    <row r="68" spans="1:23" x14ac:dyDescent="0.3">
      <c r="A68" s="4">
        <v>11</v>
      </c>
      <c r="B68" s="5">
        <v>-1920</v>
      </c>
      <c r="C68" s="5">
        <v>3</v>
      </c>
      <c r="D68" s="5" t="str">
        <f t="shared" si="1"/>
        <v>11,-1920,3</v>
      </c>
      <c r="E68" s="6">
        <v>0.25600000000000001</v>
      </c>
      <c r="F68" s="6">
        <v>53.6</v>
      </c>
      <c r="G68" s="6">
        <v>0.30399999999999999</v>
      </c>
      <c r="H68" s="6">
        <v>2.6</v>
      </c>
      <c r="I68" s="6">
        <v>3.2</v>
      </c>
      <c r="J68" s="6">
        <v>-13.9</v>
      </c>
      <c r="K68" s="6">
        <v>5.1999999999999998E-2</v>
      </c>
      <c r="L68" s="6">
        <v>5.12</v>
      </c>
      <c r="M68" s="6">
        <v>-6.2</v>
      </c>
      <c r="N68" s="6">
        <v>4.01</v>
      </c>
      <c r="O68" s="6">
        <v>0.5373</v>
      </c>
      <c r="P68" s="6">
        <v>-4.5</v>
      </c>
      <c r="Q68" s="6">
        <v>0.36699999999999999</v>
      </c>
      <c r="R68" s="6">
        <v>2.4700000000000002</v>
      </c>
      <c r="S68" s="6">
        <v>-20.2</v>
      </c>
      <c r="T68" s="6">
        <v>1.58</v>
      </c>
      <c r="U68" s="6">
        <v>2.2100000000000002E-2</v>
      </c>
      <c r="V68" s="6">
        <v>6.2</v>
      </c>
      <c r="W68" s="6">
        <v>0.219</v>
      </c>
    </row>
    <row r="69" spans="1:23" x14ac:dyDescent="0.3">
      <c r="A69" s="7">
        <v>11</v>
      </c>
      <c r="B69" s="8" t="s">
        <v>111</v>
      </c>
      <c r="C69" s="8">
        <v>3</v>
      </c>
      <c r="D69" s="8" t="str">
        <f t="shared" si="1"/>
        <v>11,1920-1925,3</v>
      </c>
      <c r="E69" s="9">
        <v>0.25600000000000001</v>
      </c>
      <c r="F69" s="9">
        <v>53.6</v>
      </c>
      <c r="G69" s="9">
        <v>0.30399999999999999</v>
      </c>
      <c r="H69" s="9">
        <v>2.8</v>
      </c>
      <c r="I69" s="9">
        <v>1.5</v>
      </c>
      <c r="J69" s="9">
        <v>153.80000000000001</v>
      </c>
      <c r="K69" s="9">
        <v>5.1999999999999998E-2</v>
      </c>
      <c r="L69" s="9">
        <v>5.26</v>
      </c>
      <c r="M69" s="9">
        <v>-8.0399999999999991</v>
      </c>
      <c r="N69" s="9">
        <v>4.01</v>
      </c>
      <c r="O69" s="9">
        <v>0.54369999999999996</v>
      </c>
      <c r="P69" s="9">
        <v>-11.6</v>
      </c>
      <c r="Q69" s="9">
        <v>0.33300000000000002</v>
      </c>
      <c r="R69" s="9">
        <v>2.4</v>
      </c>
      <c r="S69" s="9">
        <v>-18.100000000000001</v>
      </c>
      <c r="T69" s="9">
        <v>1.63</v>
      </c>
      <c r="U69" s="9">
        <v>2.5399999999999999E-2</v>
      </c>
      <c r="V69" s="9">
        <v>6.1</v>
      </c>
      <c r="W69" s="9">
        <v>0.219</v>
      </c>
    </row>
    <row r="70" spans="1:23" x14ac:dyDescent="0.3">
      <c r="A70" s="4">
        <v>11</v>
      </c>
      <c r="B70" s="5" t="s">
        <v>112</v>
      </c>
      <c r="C70" s="5">
        <v>3</v>
      </c>
      <c r="D70" s="5" t="str">
        <f t="shared" si="1"/>
        <v>11,1925-1930,3</v>
      </c>
      <c r="E70" s="6">
        <v>0.25600000000000001</v>
      </c>
      <c r="F70" s="6">
        <v>53.6</v>
      </c>
      <c r="G70" s="6">
        <v>0.30399999999999999</v>
      </c>
      <c r="H70" s="6">
        <v>2.7</v>
      </c>
      <c r="I70" s="6">
        <v>3.2</v>
      </c>
      <c r="J70" s="6">
        <v>-10.9</v>
      </c>
      <c r="K70" s="6">
        <v>5.1999999999999998E-2</v>
      </c>
      <c r="L70" s="6">
        <v>4.84</v>
      </c>
      <c r="M70" s="6">
        <v>-4.1900000000000004</v>
      </c>
      <c r="N70" s="6">
        <v>4.0199999999999996</v>
      </c>
      <c r="O70" s="6">
        <v>0.55530000000000002</v>
      </c>
      <c r="P70" s="6">
        <v>-18</v>
      </c>
      <c r="Q70" s="6">
        <v>0.28100000000000003</v>
      </c>
      <c r="R70" s="6">
        <v>2.4</v>
      </c>
      <c r="S70" s="6">
        <v>-15.9</v>
      </c>
      <c r="T70" s="6">
        <v>1.63</v>
      </c>
      <c r="U70" s="6">
        <v>1.9800000000000002E-2</v>
      </c>
      <c r="V70" s="6">
        <v>6.7</v>
      </c>
      <c r="W70" s="6">
        <v>0.219</v>
      </c>
    </row>
    <row r="71" spans="1:23" x14ac:dyDescent="0.3">
      <c r="A71" s="7">
        <v>11</v>
      </c>
      <c r="B71" s="8" t="s">
        <v>113</v>
      </c>
      <c r="C71" s="8">
        <v>3</v>
      </c>
      <c r="D71" s="8" t="str">
        <f t="shared" si="1"/>
        <v>11,1930-1935,3</v>
      </c>
      <c r="E71" s="9">
        <v>0.25600000000000001</v>
      </c>
      <c r="F71" s="9">
        <v>53.6</v>
      </c>
      <c r="G71" s="9">
        <v>0.30399999999999999</v>
      </c>
      <c r="H71" s="9">
        <v>2.7</v>
      </c>
      <c r="I71" s="9">
        <v>3</v>
      </c>
      <c r="J71" s="9">
        <v>-2.5</v>
      </c>
      <c r="K71" s="9">
        <v>5.1999999999999998E-2</v>
      </c>
      <c r="L71" s="9">
        <v>4.97</v>
      </c>
      <c r="M71" s="9">
        <v>-5.08</v>
      </c>
      <c r="N71" s="9">
        <v>4.01</v>
      </c>
      <c r="O71" s="9">
        <v>0.42230000000000001</v>
      </c>
      <c r="P71" s="9">
        <v>7.6</v>
      </c>
      <c r="Q71" s="9">
        <v>0.35099999999999998</v>
      </c>
      <c r="R71" s="9">
        <v>2.23</v>
      </c>
      <c r="S71" s="9">
        <v>-6.63</v>
      </c>
      <c r="T71" s="9">
        <v>1.62</v>
      </c>
      <c r="U71" s="9">
        <v>3.1800000000000002E-2</v>
      </c>
      <c r="V71" s="9">
        <v>5.8</v>
      </c>
      <c r="W71" s="9">
        <v>0.219</v>
      </c>
    </row>
    <row r="72" spans="1:23" x14ac:dyDescent="0.3">
      <c r="A72" s="4">
        <v>11</v>
      </c>
      <c r="B72" s="5" t="s">
        <v>114</v>
      </c>
      <c r="C72" s="5">
        <v>3</v>
      </c>
      <c r="D72" s="5" t="str">
        <f t="shared" si="1"/>
        <v>11,1935-1940,3</v>
      </c>
      <c r="E72" s="6">
        <v>0.25600000000000001</v>
      </c>
      <c r="F72" s="6">
        <v>53.6</v>
      </c>
      <c r="G72" s="6">
        <v>0.30399999999999999</v>
      </c>
      <c r="H72" s="6">
        <v>2.7</v>
      </c>
      <c r="I72" s="6">
        <v>3.1</v>
      </c>
      <c r="J72" s="6">
        <v>-3.2</v>
      </c>
      <c r="K72" s="6">
        <v>5.1999999999999998E-2</v>
      </c>
      <c r="L72" s="6">
        <v>5.18</v>
      </c>
      <c r="M72" s="6">
        <v>-7.42</v>
      </c>
      <c r="N72" s="6">
        <v>4</v>
      </c>
      <c r="O72" s="6">
        <v>0.57650000000000001</v>
      </c>
      <c r="P72" s="6">
        <v>-16.3</v>
      </c>
      <c r="Q72" s="6">
        <v>0.371</v>
      </c>
      <c r="R72" s="6">
        <v>2.37</v>
      </c>
      <c r="S72" s="6">
        <v>-14.2</v>
      </c>
      <c r="T72" s="6">
        <v>1.63</v>
      </c>
      <c r="U72" s="6">
        <v>3.0499999999999999E-2</v>
      </c>
      <c r="V72" s="6">
        <v>5.7</v>
      </c>
      <c r="W72" s="6">
        <v>0.219</v>
      </c>
    </row>
    <row r="73" spans="1:23" x14ac:dyDescent="0.3">
      <c r="A73" s="7">
        <v>11</v>
      </c>
      <c r="B73" s="8" t="s">
        <v>115</v>
      </c>
      <c r="C73" s="8">
        <v>3</v>
      </c>
      <c r="D73" s="8" t="str">
        <f t="shared" si="1"/>
        <v>11,1940-1945,3</v>
      </c>
      <c r="E73" s="9">
        <v>0.25600000000000001</v>
      </c>
      <c r="F73" s="9">
        <v>53.6</v>
      </c>
      <c r="G73" s="9">
        <v>0.30399999999999999</v>
      </c>
      <c r="H73" s="9">
        <v>2.7</v>
      </c>
      <c r="I73" s="9">
        <v>3.1</v>
      </c>
      <c r="J73" s="9">
        <v>0</v>
      </c>
      <c r="K73" s="9">
        <v>5.1999999999999998E-2</v>
      </c>
      <c r="L73" s="9">
        <v>5.77</v>
      </c>
      <c r="M73" s="9">
        <v>-12.6</v>
      </c>
      <c r="N73" s="9">
        <v>4.0199999999999996</v>
      </c>
      <c r="O73" s="9">
        <v>0.62029999999999996</v>
      </c>
      <c r="P73" s="9">
        <v>-26.9</v>
      </c>
      <c r="Q73" s="9">
        <v>0.33900000000000002</v>
      </c>
      <c r="R73" s="9">
        <v>2.2000000000000002</v>
      </c>
      <c r="S73" s="9">
        <v>-2.97</v>
      </c>
      <c r="T73" s="9">
        <v>1.64</v>
      </c>
      <c r="U73" s="9">
        <v>3.5799999999999998E-2</v>
      </c>
      <c r="V73" s="9">
        <v>4.8</v>
      </c>
      <c r="W73" s="9">
        <v>0.219</v>
      </c>
    </row>
    <row r="74" spans="1:23" x14ac:dyDescent="0.3">
      <c r="A74" s="4">
        <v>11</v>
      </c>
      <c r="B74" s="5" t="s">
        <v>116</v>
      </c>
      <c r="C74" s="5">
        <v>3</v>
      </c>
      <c r="D74" s="5" t="str">
        <f t="shared" si="1"/>
        <v>11,1945-1950,3</v>
      </c>
      <c r="E74" s="6">
        <v>0.25600000000000001</v>
      </c>
      <c r="F74" s="6">
        <v>53.6</v>
      </c>
      <c r="G74" s="6">
        <v>0.30399999999999999</v>
      </c>
      <c r="H74" s="6">
        <v>2.7</v>
      </c>
      <c r="I74" s="6">
        <v>3</v>
      </c>
      <c r="J74" s="6">
        <v>0.6</v>
      </c>
      <c r="K74" s="6">
        <v>5.1999999999999998E-2</v>
      </c>
      <c r="L74" s="6">
        <v>5.57</v>
      </c>
      <c r="M74" s="6">
        <v>-10.8</v>
      </c>
      <c r="N74" s="6">
        <v>4</v>
      </c>
      <c r="O74" s="6">
        <v>0.50119999999999998</v>
      </c>
      <c r="P74" s="6">
        <v>-5.4</v>
      </c>
      <c r="Q74" s="6">
        <v>0.371</v>
      </c>
      <c r="R74" s="6">
        <v>2.3199999999999998</v>
      </c>
      <c r="S74" s="6">
        <v>-9.2799999999999994</v>
      </c>
      <c r="T74" s="6">
        <v>1.64</v>
      </c>
      <c r="U74" s="6">
        <v>3.3599999999999998E-2</v>
      </c>
      <c r="V74" s="6">
        <v>5</v>
      </c>
      <c r="W74" s="6">
        <v>0.219</v>
      </c>
    </row>
    <row r="75" spans="1:23" x14ac:dyDescent="0.3">
      <c r="A75" s="7">
        <v>11</v>
      </c>
      <c r="B75" s="8" t="s">
        <v>117</v>
      </c>
      <c r="C75" s="8">
        <v>3</v>
      </c>
      <c r="D75" s="8" t="str">
        <f t="shared" si="1"/>
        <v>11,1950-1955,3</v>
      </c>
      <c r="E75" s="9">
        <v>0.25600000000000001</v>
      </c>
      <c r="F75" s="9">
        <v>53.6</v>
      </c>
      <c r="G75" s="9">
        <v>0.30399999999999999</v>
      </c>
      <c r="H75" s="9">
        <v>2.7</v>
      </c>
      <c r="I75" s="9">
        <v>3.1</v>
      </c>
      <c r="J75" s="9">
        <v>-4.5999999999999996</v>
      </c>
      <c r="K75" s="9">
        <v>5.1999999999999998E-2</v>
      </c>
      <c r="L75" s="9">
        <v>5.94</v>
      </c>
      <c r="M75" s="9">
        <v>-14.4</v>
      </c>
      <c r="N75" s="9">
        <v>4.0199999999999996</v>
      </c>
      <c r="O75" s="9">
        <v>0.66479999999999995</v>
      </c>
      <c r="P75" s="9">
        <v>-34.799999999999997</v>
      </c>
      <c r="Q75" s="9">
        <v>0.371</v>
      </c>
      <c r="R75" s="9">
        <v>2.4300000000000002</v>
      </c>
      <c r="S75" s="9">
        <v>-15.2</v>
      </c>
      <c r="T75" s="9">
        <v>1.66</v>
      </c>
      <c r="U75" s="9">
        <v>3.3700000000000001E-2</v>
      </c>
      <c r="V75" s="9">
        <v>5.0999999999999996</v>
      </c>
      <c r="W75" s="9">
        <v>0.219</v>
      </c>
    </row>
    <row r="76" spans="1:23" x14ac:dyDescent="0.3">
      <c r="A76" s="4">
        <v>11</v>
      </c>
      <c r="B76" s="5" t="s">
        <v>118</v>
      </c>
      <c r="C76" s="5">
        <v>3</v>
      </c>
      <c r="D76" s="5" t="str">
        <f t="shared" si="1"/>
        <v>11,1955-1960,3</v>
      </c>
      <c r="E76" s="6">
        <v>0.25600000000000001</v>
      </c>
      <c r="F76" s="6">
        <v>53.6</v>
      </c>
      <c r="G76" s="6">
        <v>0.30399999999999999</v>
      </c>
      <c r="H76" s="6">
        <v>2.8</v>
      </c>
      <c r="I76" s="6">
        <v>3.1</v>
      </c>
      <c r="J76" s="6">
        <v>-0.7</v>
      </c>
      <c r="K76" s="6">
        <v>5.1999999999999998E-2</v>
      </c>
      <c r="L76" s="6">
        <v>5.79</v>
      </c>
      <c r="M76" s="6">
        <v>-13.3</v>
      </c>
      <c r="N76" s="6">
        <v>4.01</v>
      </c>
      <c r="O76" s="6">
        <v>0.54020000000000001</v>
      </c>
      <c r="P76" s="6">
        <v>-12.1</v>
      </c>
      <c r="Q76" s="6">
        <v>0.36399999999999999</v>
      </c>
      <c r="R76" s="6">
        <v>2.2799999999999998</v>
      </c>
      <c r="S76" s="6">
        <v>-4.87</v>
      </c>
      <c r="T76" s="6">
        <v>1.66</v>
      </c>
      <c r="U76" s="6">
        <v>2.92E-2</v>
      </c>
      <c r="V76" s="6">
        <v>5.0999999999999996</v>
      </c>
      <c r="W76" s="6">
        <v>0.219</v>
      </c>
    </row>
    <row r="77" spans="1:23" x14ac:dyDescent="0.3">
      <c r="A77" s="7">
        <v>11</v>
      </c>
      <c r="B77" s="8" t="s">
        <v>119</v>
      </c>
      <c r="C77" s="8">
        <v>3</v>
      </c>
      <c r="D77" s="8" t="str">
        <f t="shared" si="1"/>
        <v>11,1960-1965,3</v>
      </c>
      <c r="E77" s="9">
        <v>0.25600000000000001</v>
      </c>
      <c r="F77" s="9">
        <v>53.6</v>
      </c>
      <c r="G77" s="9">
        <v>0.30399999999999999</v>
      </c>
      <c r="H77" s="9">
        <v>2.8</v>
      </c>
      <c r="I77" s="9">
        <v>3</v>
      </c>
      <c r="J77" s="9">
        <v>3.8</v>
      </c>
      <c r="K77" s="9">
        <v>5.1999999999999998E-2</v>
      </c>
      <c r="L77" s="9">
        <v>6.24</v>
      </c>
      <c r="M77" s="9">
        <v>-18.2</v>
      </c>
      <c r="N77" s="9">
        <v>4.0199999999999996</v>
      </c>
      <c r="O77" s="9">
        <v>0.54330000000000001</v>
      </c>
      <c r="P77" s="9">
        <v>-17.3</v>
      </c>
      <c r="Q77" s="9">
        <v>0.28199999999999997</v>
      </c>
      <c r="R77" s="9">
        <v>2.42</v>
      </c>
      <c r="S77" s="9">
        <v>-13.7</v>
      </c>
      <c r="T77" s="9">
        <v>1.67</v>
      </c>
      <c r="U77" s="9">
        <v>3.2199999999999999E-2</v>
      </c>
      <c r="V77" s="9">
        <v>4.5999999999999996</v>
      </c>
      <c r="W77" s="9">
        <v>0.219</v>
      </c>
    </row>
    <row r="78" spans="1:23" x14ac:dyDescent="0.3">
      <c r="A78" s="4">
        <v>11</v>
      </c>
      <c r="B78" s="5" t="s">
        <v>120</v>
      </c>
      <c r="C78" s="5">
        <v>3</v>
      </c>
      <c r="D78" s="5" t="str">
        <f t="shared" si="1"/>
        <v>11,1965-1970,3</v>
      </c>
      <c r="E78" s="6">
        <v>0.25600000000000001</v>
      </c>
      <c r="F78" s="6">
        <v>53.6</v>
      </c>
      <c r="G78" s="6">
        <v>0.30399999999999999</v>
      </c>
      <c r="H78" s="6">
        <v>2.8</v>
      </c>
      <c r="I78" s="6">
        <v>3</v>
      </c>
      <c r="J78" s="6">
        <v>4.8</v>
      </c>
      <c r="K78" s="6">
        <v>5.1999999999999998E-2</v>
      </c>
      <c r="L78" s="6">
        <v>6.72</v>
      </c>
      <c r="M78" s="6">
        <v>-24</v>
      </c>
      <c r="N78" s="6">
        <v>4.03</v>
      </c>
      <c r="O78" s="6">
        <v>0.53280000000000005</v>
      </c>
      <c r="P78" s="6">
        <v>-13.1</v>
      </c>
      <c r="Q78" s="6">
        <v>0.36699999999999999</v>
      </c>
      <c r="R78" s="6">
        <v>2.34</v>
      </c>
      <c r="S78" s="6">
        <v>-12.7</v>
      </c>
      <c r="T78" s="6">
        <v>1.67</v>
      </c>
      <c r="U78" s="6">
        <v>2.7799999999999998E-2</v>
      </c>
      <c r="V78" s="6">
        <v>4.7</v>
      </c>
      <c r="W78" s="6">
        <v>0.219</v>
      </c>
    </row>
    <row r="79" spans="1:23" x14ac:dyDescent="0.3">
      <c r="A79" s="7">
        <v>11</v>
      </c>
      <c r="B79" s="8" t="s">
        <v>121</v>
      </c>
      <c r="C79" s="8">
        <v>3</v>
      </c>
      <c r="D79" s="8" t="str">
        <f t="shared" si="1"/>
        <v>11,1970-1975,3</v>
      </c>
      <c r="E79" s="9">
        <v>0.25600000000000001</v>
      </c>
      <c r="F79" s="9">
        <v>53.6</v>
      </c>
      <c r="G79" s="9">
        <v>0.30399999999999999</v>
      </c>
      <c r="H79" s="9">
        <v>2.7</v>
      </c>
      <c r="I79" s="9">
        <v>3</v>
      </c>
      <c r="J79" s="9">
        <v>1.3</v>
      </c>
      <c r="K79" s="9">
        <v>5.1999999999999998E-2</v>
      </c>
      <c r="L79" s="9">
        <v>6.59</v>
      </c>
      <c r="M79" s="9">
        <v>-22.9</v>
      </c>
      <c r="N79" s="9">
        <v>4.05</v>
      </c>
      <c r="O79" s="9">
        <v>0.63639999999999997</v>
      </c>
      <c r="P79" s="9">
        <v>-37.200000000000003</v>
      </c>
      <c r="Q79" s="9">
        <v>0.36699999999999999</v>
      </c>
      <c r="R79" s="9">
        <v>2.36</v>
      </c>
      <c r="S79" s="9">
        <v>-19.3</v>
      </c>
      <c r="T79" s="9">
        <v>1.68</v>
      </c>
      <c r="U79" s="9">
        <v>3.0599999999999999E-2</v>
      </c>
      <c r="V79" s="9">
        <v>4.0999999999999996</v>
      </c>
      <c r="W79" s="9">
        <v>0.219</v>
      </c>
    </row>
    <row r="80" spans="1:23" x14ac:dyDescent="0.3">
      <c r="A80" s="4">
        <v>11</v>
      </c>
      <c r="B80" s="5" t="s">
        <v>122</v>
      </c>
      <c r="C80" s="5">
        <v>3</v>
      </c>
      <c r="D80" s="5" t="str">
        <f t="shared" si="1"/>
        <v>11,1975-1980,3</v>
      </c>
      <c r="E80" s="6">
        <v>0.25600000000000001</v>
      </c>
      <c r="F80" s="6">
        <v>53.6</v>
      </c>
      <c r="G80" s="6">
        <v>0.30399999999999999</v>
      </c>
      <c r="H80" s="6">
        <v>2.8</v>
      </c>
      <c r="I80" s="6">
        <v>2.9</v>
      </c>
      <c r="J80" s="6">
        <v>14.1</v>
      </c>
      <c r="K80" s="6">
        <v>5.1999999999999998E-2</v>
      </c>
      <c r="L80" s="6">
        <v>6.42</v>
      </c>
      <c r="M80" s="6">
        <v>-21.1</v>
      </c>
      <c r="N80" s="6">
        <v>4.01</v>
      </c>
      <c r="O80" s="6">
        <v>0.49009999999999998</v>
      </c>
      <c r="P80" s="6">
        <v>-4</v>
      </c>
      <c r="Q80" s="6">
        <v>0.42</v>
      </c>
      <c r="R80" s="6">
        <v>2.34</v>
      </c>
      <c r="S80" s="6">
        <v>-17.7</v>
      </c>
      <c r="T80" s="6">
        <v>1.67</v>
      </c>
      <c r="U80" s="6">
        <v>3.39E-2</v>
      </c>
      <c r="V80" s="6">
        <v>3.6</v>
      </c>
      <c r="W80" s="6">
        <v>0.219</v>
      </c>
    </row>
    <row r="81" spans="1:23" x14ac:dyDescent="0.3">
      <c r="A81" s="7">
        <v>11</v>
      </c>
      <c r="B81" s="8" t="s">
        <v>123</v>
      </c>
      <c r="C81" s="8">
        <v>3</v>
      </c>
      <c r="D81" s="8" t="str">
        <f t="shared" si="1"/>
        <v>11,1980-1985,3</v>
      </c>
      <c r="E81" s="9">
        <v>0.25600000000000001</v>
      </c>
      <c r="F81" s="9">
        <v>53.6</v>
      </c>
      <c r="G81" s="9">
        <v>0.30399999999999999</v>
      </c>
      <c r="H81" s="9">
        <v>2.5</v>
      </c>
      <c r="I81" s="9">
        <v>3</v>
      </c>
      <c r="J81" s="9">
        <v>17.600000000000001</v>
      </c>
      <c r="K81" s="9">
        <v>5.1999999999999998E-2</v>
      </c>
      <c r="L81" s="9">
        <v>6.15</v>
      </c>
      <c r="M81" s="9">
        <v>-18.399999999999999</v>
      </c>
      <c r="N81" s="9">
        <v>4.01</v>
      </c>
      <c r="O81" s="9">
        <v>0.81279999999999997</v>
      </c>
      <c r="P81" s="9">
        <v>-68.3</v>
      </c>
      <c r="Q81" s="9">
        <v>0.436</v>
      </c>
      <c r="R81" s="9">
        <v>2.44</v>
      </c>
      <c r="S81" s="9">
        <v>-18.899999999999999</v>
      </c>
      <c r="T81" s="9">
        <v>1.66</v>
      </c>
      <c r="U81" s="9">
        <v>3.0200000000000001E-2</v>
      </c>
      <c r="V81" s="9">
        <v>4.3</v>
      </c>
      <c r="W81" s="9">
        <v>0.219</v>
      </c>
    </row>
    <row r="82" spans="1:23" x14ac:dyDescent="0.3">
      <c r="A82" s="4">
        <v>11</v>
      </c>
      <c r="B82" s="5" t="s">
        <v>124</v>
      </c>
      <c r="C82" s="5">
        <v>3</v>
      </c>
      <c r="D82" s="5" t="str">
        <f t="shared" si="1"/>
        <v>11,1985-1990,3</v>
      </c>
      <c r="E82" s="6">
        <v>0.25600000000000001</v>
      </c>
      <c r="F82" s="6">
        <v>53.6</v>
      </c>
      <c r="G82" s="6">
        <v>0.30399999999999999</v>
      </c>
      <c r="H82" s="6">
        <v>2.6</v>
      </c>
      <c r="I82" s="6">
        <v>3.1</v>
      </c>
      <c r="J82" s="6">
        <v>8.3000000000000007</v>
      </c>
      <c r="K82" s="6">
        <v>5.1999999999999998E-2</v>
      </c>
      <c r="L82" s="6">
        <v>6</v>
      </c>
      <c r="M82" s="6">
        <v>-16.899999999999999</v>
      </c>
      <c r="N82" s="6">
        <v>4.0199999999999996</v>
      </c>
      <c r="O82" s="6">
        <v>0.31790000000000002</v>
      </c>
      <c r="P82" s="6">
        <v>50</v>
      </c>
      <c r="Q82" s="6">
        <v>0.432</v>
      </c>
      <c r="R82" s="6">
        <v>2.41</v>
      </c>
      <c r="S82" s="6">
        <v>-18</v>
      </c>
      <c r="T82" s="6">
        <v>1.67</v>
      </c>
      <c r="U82" s="6">
        <v>3.6900000000000002E-2</v>
      </c>
      <c r="V82" s="6">
        <v>4.9000000000000004</v>
      </c>
      <c r="W82" s="6">
        <v>0.219</v>
      </c>
    </row>
    <row r="83" spans="1:23" x14ac:dyDescent="0.3">
      <c r="A83" s="7">
        <v>11</v>
      </c>
      <c r="B83" s="8" t="s">
        <v>125</v>
      </c>
      <c r="C83" s="8">
        <v>3</v>
      </c>
      <c r="D83" s="8" t="str">
        <f t="shared" si="1"/>
        <v>11,1990-1995,3</v>
      </c>
      <c r="E83" s="9">
        <v>0.25600000000000001</v>
      </c>
      <c r="F83" s="9">
        <v>53.6</v>
      </c>
      <c r="G83" s="9">
        <v>0.30399999999999999</v>
      </c>
      <c r="H83" s="9">
        <v>2.6</v>
      </c>
      <c r="I83" s="9">
        <v>3.2</v>
      </c>
      <c r="J83" s="9">
        <v>1.1000000000000001</v>
      </c>
      <c r="K83" s="9">
        <v>5.1999999999999998E-2</v>
      </c>
      <c r="L83" s="9">
        <v>6.04</v>
      </c>
      <c r="M83" s="9">
        <v>-17</v>
      </c>
      <c r="N83" s="9">
        <v>4.04</v>
      </c>
      <c r="O83" s="9">
        <v>0.52759999999999996</v>
      </c>
      <c r="P83" s="9">
        <v>7.2</v>
      </c>
      <c r="Q83" s="9">
        <v>0.46200000000000002</v>
      </c>
      <c r="R83" s="9">
        <v>2.36</v>
      </c>
      <c r="S83" s="9">
        <v>-15.3</v>
      </c>
      <c r="T83" s="9">
        <v>1.69</v>
      </c>
      <c r="U83" s="9">
        <v>3.6999999999999998E-2</v>
      </c>
      <c r="V83" s="9">
        <v>5.9</v>
      </c>
      <c r="W83" s="9">
        <v>0.219</v>
      </c>
    </row>
    <row r="84" spans="1:23" x14ac:dyDescent="0.3">
      <c r="A84" s="4">
        <v>11</v>
      </c>
      <c r="B84" s="5" t="s">
        <v>126</v>
      </c>
      <c r="C84" s="5">
        <v>3</v>
      </c>
      <c r="D84" s="5" t="str">
        <f t="shared" si="1"/>
        <v>11,1995-2000,3</v>
      </c>
      <c r="E84" s="6">
        <v>0.25600000000000001</v>
      </c>
      <c r="F84" s="6">
        <v>53.6</v>
      </c>
      <c r="G84" s="6">
        <v>0.30399999999999999</v>
      </c>
      <c r="H84" s="6">
        <v>2.6</v>
      </c>
      <c r="I84" s="6">
        <v>3.3</v>
      </c>
      <c r="J84" s="6">
        <v>-8.6</v>
      </c>
      <c r="K84" s="6">
        <v>5.1999999999999998E-2</v>
      </c>
      <c r="L84" s="6">
        <v>5.86</v>
      </c>
      <c r="M84" s="6">
        <v>-15.5</v>
      </c>
      <c r="N84" s="6">
        <v>4.05</v>
      </c>
      <c r="O84" s="6">
        <v>0.17899999999999999</v>
      </c>
      <c r="P84" s="6">
        <v>0</v>
      </c>
      <c r="Q84" s="6">
        <v>0.17899999999999999</v>
      </c>
      <c r="R84" s="6">
        <v>2.4500000000000002</v>
      </c>
      <c r="S84" s="6">
        <v>-19.399999999999999</v>
      </c>
      <c r="T84" s="6">
        <v>1.74</v>
      </c>
      <c r="U84" s="6">
        <v>4.7399999999999998E-2</v>
      </c>
      <c r="V84" s="6">
        <v>4.4000000000000004</v>
      </c>
      <c r="W84" s="6">
        <v>0.219</v>
      </c>
    </row>
    <row r="85" spans="1:23" x14ac:dyDescent="0.3">
      <c r="A85" s="7">
        <v>11</v>
      </c>
      <c r="B85" s="8" t="s">
        <v>127</v>
      </c>
      <c r="C85" s="8">
        <v>3</v>
      </c>
      <c r="D85" s="8" t="str">
        <f t="shared" si="1"/>
        <v>11,2000-2005,3</v>
      </c>
      <c r="E85" s="9">
        <v>0.25600000000000001</v>
      </c>
      <c r="F85" s="9">
        <v>53.6</v>
      </c>
      <c r="G85" s="9">
        <v>0.30399999999999999</v>
      </c>
      <c r="H85" s="9">
        <v>2.7</v>
      </c>
      <c r="I85" s="9">
        <v>3.4</v>
      </c>
      <c r="J85" s="9">
        <v>-15.2</v>
      </c>
      <c r="K85" s="9">
        <v>5.1999999999999998E-2</v>
      </c>
      <c r="L85" s="9">
        <v>5.79</v>
      </c>
      <c r="M85" s="9">
        <v>-14.8</v>
      </c>
      <c r="N85" s="9">
        <v>4.04</v>
      </c>
      <c r="O85" s="9">
        <v>0.43169999999999997</v>
      </c>
      <c r="P85" s="9">
        <v>6</v>
      </c>
      <c r="Q85" s="9">
        <v>0.17199999999999999</v>
      </c>
      <c r="R85" s="9">
        <v>2.4300000000000002</v>
      </c>
      <c r="S85" s="9">
        <v>-13.7</v>
      </c>
      <c r="T85" s="9">
        <v>1.81</v>
      </c>
      <c r="U85" s="9">
        <v>4.3700000000000003E-2</v>
      </c>
      <c r="V85" s="9">
        <v>4.7</v>
      </c>
      <c r="W85" s="9">
        <v>0.219</v>
      </c>
    </row>
    <row r="86" spans="1:23" x14ac:dyDescent="0.3">
      <c r="A86" s="4">
        <v>11</v>
      </c>
      <c r="B86" s="5" t="s">
        <v>128</v>
      </c>
      <c r="C86" s="5">
        <v>3</v>
      </c>
      <c r="D86" s="5" t="str">
        <f t="shared" si="1"/>
        <v>11,2005-2010,3</v>
      </c>
      <c r="E86" s="6">
        <v>0.25600000000000001</v>
      </c>
      <c r="F86" s="6">
        <v>53.6</v>
      </c>
      <c r="G86" s="6">
        <v>0.30399999999999999</v>
      </c>
      <c r="H86" s="6">
        <v>2.8</v>
      </c>
      <c r="I86" s="6">
        <v>3.6</v>
      </c>
      <c r="J86" s="6">
        <v>-32.200000000000003</v>
      </c>
      <c r="K86" s="6">
        <v>5.1999999999999998E-2</v>
      </c>
      <c r="L86" s="6">
        <v>5.99</v>
      </c>
      <c r="M86" s="6">
        <v>-16.600000000000001</v>
      </c>
      <c r="N86" s="6">
        <v>4.03</v>
      </c>
      <c r="O86" s="6">
        <v>0.43559999999999999</v>
      </c>
      <c r="P86" s="6">
        <v>7.4</v>
      </c>
      <c r="Q86" s="6">
        <v>0.26900000000000002</v>
      </c>
      <c r="R86" s="6">
        <v>2.5</v>
      </c>
      <c r="S86" s="6">
        <v>-16.3</v>
      </c>
      <c r="T86" s="6">
        <v>1.84</v>
      </c>
      <c r="U86" s="6">
        <v>4.3799999999999999E-2</v>
      </c>
      <c r="V86" s="6">
        <v>4.2</v>
      </c>
      <c r="W86" s="6">
        <v>0.219</v>
      </c>
    </row>
    <row r="87" spans="1:23" x14ac:dyDescent="0.3">
      <c r="A87" s="7">
        <v>11</v>
      </c>
      <c r="B87" s="8" t="s">
        <v>129</v>
      </c>
      <c r="C87" s="8">
        <v>3</v>
      </c>
      <c r="D87" s="8" t="str">
        <f t="shared" si="1"/>
        <v>11,2010-2015,3</v>
      </c>
      <c r="E87" s="9">
        <v>0.25600000000000001</v>
      </c>
      <c r="F87" s="9">
        <v>53.6</v>
      </c>
      <c r="G87" s="9">
        <v>0.30399999999999999</v>
      </c>
      <c r="H87" s="9">
        <v>2.9</v>
      </c>
      <c r="I87" s="9">
        <v>3.7</v>
      </c>
      <c r="J87" s="9">
        <v>-33.6</v>
      </c>
      <c r="K87" s="9">
        <v>5.1999999999999998E-2</v>
      </c>
      <c r="L87" s="9">
        <v>5.96</v>
      </c>
      <c r="M87" s="9">
        <v>-16.7</v>
      </c>
      <c r="N87" s="9">
        <v>4.01</v>
      </c>
      <c r="O87" s="9">
        <v>0.43680000000000002</v>
      </c>
      <c r="P87" s="9">
        <v>12.2</v>
      </c>
      <c r="Q87" s="9">
        <v>0.32200000000000001</v>
      </c>
      <c r="R87" s="9">
        <v>2.5099999999999998</v>
      </c>
      <c r="S87" s="9">
        <v>-10.199999999999999</v>
      </c>
      <c r="T87" s="9">
        <v>1.9</v>
      </c>
      <c r="U87" s="9">
        <v>4.3400000000000001E-2</v>
      </c>
      <c r="V87" s="9">
        <v>2.9</v>
      </c>
      <c r="W87" s="9">
        <v>0.219</v>
      </c>
    </row>
    <row r="88" spans="1:23" x14ac:dyDescent="0.3">
      <c r="A88" s="4">
        <v>11</v>
      </c>
      <c r="B88" s="5" t="s">
        <v>130</v>
      </c>
      <c r="C88" s="5">
        <v>3</v>
      </c>
      <c r="D88" s="5" t="str">
        <f t="shared" si="1"/>
        <v>11,2015-2020,3</v>
      </c>
      <c r="E88" s="6">
        <v>0.25600000000000001</v>
      </c>
      <c r="F88" s="6">
        <v>53.6</v>
      </c>
      <c r="G88" s="6">
        <v>0.30399999999999999</v>
      </c>
      <c r="H88" s="6">
        <v>3</v>
      </c>
      <c r="I88" s="6">
        <v>3.8</v>
      </c>
      <c r="J88" s="6">
        <v>-22.1</v>
      </c>
      <c r="K88" s="6">
        <v>5.1999999999999998E-2</v>
      </c>
      <c r="L88" s="6">
        <v>5.91</v>
      </c>
      <c r="M88" s="6">
        <v>-15.6</v>
      </c>
      <c r="N88" s="6">
        <v>4.01</v>
      </c>
      <c r="O88" s="6">
        <v>0.40279999999999999</v>
      </c>
      <c r="P88" s="6">
        <v>19.899999999999999</v>
      </c>
      <c r="Q88" s="6">
        <v>0.314</v>
      </c>
      <c r="R88" s="6">
        <v>2.4700000000000002</v>
      </c>
      <c r="S88" s="6">
        <v>-0.94</v>
      </c>
      <c r="T88" s="6">
        <v>1.96</v>
      </c>
      <c r="U88" s="6">
        <v>3.4700000000000002E-2</v>
      </c>
      <c r="V88" s="6">
        <v>2.9</v>
      </c>
      <c r="W88" s="6">
        <v>0.219</v>
      </c>
    </row>
    <row r="89" spans="1:23" x14ac:dyDescent="0.3">
      <c r="A89" s="7">
        <v>11</v>
      </c>
      <c r="B89" s="8" t="s">
        <v>131</v>
      </c>
      <c r="C89" s="8">
        <v>3</v>
      </c>
      <c r="D89" s="8" t="str">
        <f t="shared" si="1"/>
        <v>11,2020-,3</v>
      </c>
      <c r="E89" s="9">
        <v>0.25600000000000001</v>
      </c>
      <c r="F89" s="9">
        <v>53.6</v>
      </c>
      <c r="G89" s="9">
        <v>0.30399999999999999</v>
      </c>
      <c r="H89" s="9">
        <v>3.1</v>
      </c>
      <c r="I89" s="9">
        <v>4</v>
      </c>
      <c r="J89" s="9">
        <v>-11.4</v>
      </c>
      <c r="K89" s="9">
        <v>5.1999999999999998E-2</v>
      </c>
      <c r="L89" s="9">
        <v>6.21</v>
      </c>
      <c r="M89" s="9">
        <v>-17.399999999999999</v>
      </c>
      <c r="N89" s="9">
        <v>4</v>
      </c>
      <c r="O89" s="9">
        <v>0.40279999999999999</v>
      </c>
      <c r="P89" s="9">
        <v>19.899999999999999</v>
      </c>
      <c r="Q89" s="9">
        <v>0.314</v>
      </c>
      <c r="R89" s="9">
        <v>2.57</v>
      </c>
      <c r="S89" s="9">
        <v>4.26</v>
      </c>
      <c r="T89" s="9">
        <v>2.04</v>
      </c>
      <c r="U89" s="9">
        <v>2.7E-2</v>
      </c>
      <c r="V89" s="9">
        <v>4.0999999999999996</v>
      </c>
      <c r="W89" s="9">
        <v>0.219</v>
      </c>
    </row>
    <row r="90" spans="1:23" x14ac:dyDescent="0.3">
      <c r="A90" s="4">
        <v>12</v>
      </c>
      <c r="B90" s="5">
        <v>-1920</v>
      </c>
      <c r="C90" s="5">
        <v>1</v>
      </c>
      <c r="D90" s="5" t="str">
        <f t="shared" si="1"/>
        <v>12,-1920,1</v>
      </c>
      <c r="E90" s="6">
        <v>0.94</v>
      </c>
      <c r="F90" s="6">
        <v>0</v>
      </c>
      <c r="G90" s="6">
        <v>0.59399999999999997</v>
      </c>
      <c r="H90" s="6">
        <v>2.6</v>
      </c>
      <c r="I90" s="6">
        <v>3.3</v>
      </c>
      <c r="J90" s="6">
        <v>-29.2</v>
      </c>
      <c r="K90" s="6">
        <v>5.1999999999999998E-2</v>
      </c>
      <c r="L90" s="6">
        <v>5.23</v>
      </c>
      <c r="M90" s="6">
        <v>-8.44</v>
      </c>
      <c r="N90" s="6">
        <v>4.03</v>
      </c>
      <c r="O90" s="6">
        <v>0</v>
      </c>
      <c r="P90" s="6">
        <v>0</v>
      </c>
      <c r="Q90" s="6">
        <v>0</v>
      </c>
      <c r="R90" s="6">
        <v>2.79</v>
      </c>
      <c r="S90" s="6">
        <v>-44.8</v>
      </c>
      <c r="T90" s="6">
        <v>1.65</v>
      </c>
      <c r="U90" s="6">
        <v>3.6799999999999999E-2</v>
      </c>
      <c r="V90" s="6">
        <v>5.0999999999999996</v>
      </c>
      <c r="W90" s="6">
        <v>0.219</v>
      </c>
    </row>
    <row r="91" spans="1:23" x14ac:dyDescent="0.3">
      <c r="A91" s="7">
        <v>12</v>
      </c>
      <c r="B91" s="8" t="s">
        <v>111</v>
      </c>
      <c r="C91" s="8">
        <v>1</v>
      </c>
      <c r="D91" s="8" t="str">
        <f t="shared" si="1"/>
        <v>12,1920-1925,1</v>
      </c>
      <c r="E91" s="9">
        <v>0.94</v>
      </c>
      <c r="F91" s="9">
        <v>0</v>
      </c>
      <c r="G91" s="9">
        <v>0.59399999999999997</v>
      </c>
      <c r="H91" s="9">
        <v>2.7</v>
      </c>
      <c r="I91" s="9">
        <v>3.1</v>
      </c>
      <c r="J91" s="9">
        <v>-12</v>
      </c>
      <c r="K91" s="9">
        <v>5.1999999999999998E-2</v>
      </c>
      <c r="L91" s="9">
        <v>4.9800000000000004</v>
      </c>
      <c r="M91" s="9">
        <v>-5.89</v>
      </c>
      <c r="N91" s="9">
        <v>4.03</v>
      </c>
      <c r="O91" s="9">
        <v>0</v>
      </c>
      <c r="P91" s="9">
        <v>0</v>
      </c>
      <c r="Q91" s="9">
        <v>0</v>
      </c>
      <c r="R91" s="9">
        <v>2.52</v>
      </c>
      <c r="S91" s="9">
        <v>-27</v>
      </c>
      <c r="T91" s="9">
        <v>1.65</v>
      </c>
      <c r="U91" s="9">
        <v>2.3599999999999999E-2</v>
      </c>
      <c r="V91" s="9">
        <v>6.4</v>
      </c>
      <c r="W91" s="9">
        <v>0.219</v>
      </c>
    </row>
    <row r="92" spans="1:23" x14ac:dyDescent="0.3">
      <c r="A92" s="4">
        <v>12</v>
      </c>
      <c r="B92" s="5" t="s">
        <v>112</v>
      </c>
      <c r="C92" s="5">
        <v>1</v>
      </c>
      <c r="D92" s="5" t="str">
        <f t="shared" si="1"/>
        <v>12,1925-1930,1</v>
      </c>
      <c r="E92" s="6">
        <v>0.94</v>
      </c>
      <c r="F92" s="6">
        <v>0</v>
      </c>
      <c r="G92" s="6">
        <v>0.59399999999999997</v>
      </c>
      <c r="H92" s="6">
        <v>2.7</v>
      </c>
      <c r="I92" s="6">
        <v>2.8</v>
      </c>
      <c r="J92" s="6">
        <v>66.5</v>
      </c>
      <c r="K92" s="6">
        <v>5.1999999999999998E-2</v>
      </c>
      <c r="L92" s="6">
        <v>4.97</v>
      </c>
      <c r="M92" s="6">
        <v>-5.75</v>
      </c>
      <c r="N92" s="6">
        <v>4.01</v>
      </c>
      <c r="O92" s="6">
        <v>0</v>
      </c>
      <c r="P92" s="6">
        <v>0</v>
      </c>
      <c r="Q92" s="6">
        <v>0</v>
      </c>
      <c r="R92" s="6">
        <v>2.33</v>
      </c>
      <c r="S92" s="6">
        <v>-11.2</v>
      </c>
      <c r="T92" s="6">
        <v>1.66</v>
      </c>
      <c r="U92" s="6">
        <v>1.8499999999999999E-2</v>
      </c>
      <c r="V92" s="6">
        <v>7</v>
      </c>
      <c r="W92" s="6">
        <v>0.219</v>
      </c>
    </row>
    <row r="93" spans="1:23" x14ac:dyDescent="0.3">
      <c r="A93" s="7">
        <v>12</v>
      </c>
      <c r="B93" s="8" t="s">
        <v>113</v>
      </c>
      <c r="C93" s="8">
        <v>1</v>
      </c>
      <c r="D93" s="8" t="str">
        <f t="shared" si="1"/>
        <v>12,1930-1935,1</v>
      </c>
      <c r="E93" s="9">
        <v>0.94</v>
      </c>
      <c r="F93" s="9">
        <v>0</v>
      </c>
      <c r="G93" s="9">
        <v>0.59399999999999997</v>
      </c>
      <c r="H93" s="9">
        <v>2.9</v>
      </c>
      <c r="I93" s="9">
        <v>3.4</v>
      </c>
      <c r="J93" s="9">
        <v>-41.5</v>
      </c>
      <c r="K93" s="9">
        <v>5.1999999999999998E-2</v>
      </c>
      <c r="L93" s="9">
        <v>4.68</v>
      </c>
      <c r="M93" s="9">
        <v>-2.91</v>
      </c>
      <c r="N93" s="9">
        <v>4.09</v>
      </c>
      <c r="O93" s="9">
        <v>0</v>
      </c>
      <c r="P93" s="9">
        <v>0</v>
      </c>
      <c r="Q93" s="9">
        <v>0</v>
      </c>
      <c r="R93" s="9">
        <v>2.98</v>
      </c>
      <c r="S93" s="9">
        <v>-68.3</v>
      </c>
      <c r="T93" s="9">
        <v>1.68</v>
      </c>
      <c r="U93" s="9">
        <v>1.6400000000000001E-2</v>
      </c>
      <c r="V93" s="9">
        <v>7.4</v>
      </c>
      <c r="W93" s="9">
        <v>0.219</v>
      </c>
    </row>
    <row r="94" spans="1:23" x14ac:dyDescent="0.3">
      <c r="A94" s="4">
        <v>12</v>
      </c>
      <c r="B94" s="5" t="s">
        <v>114</v>
      </c>
      <c r="C94" s="5">
        <v>1</v>
      </c>
      <c r="D94" s="5" t="str">
        <f t="shared" si="1"/>
        <v>12,1935-1940,1</v>
      </c>
      <c r="E94" s="6">
        <v>0.94</v>
      </c>
      <c r="F94" s="6">
        <v>0</v>
      </c>
      <c r="G94" s="6">
        <v>0.59399999999999997</v>
      </c>
      <c r="H94" s="6">
        <v>2.8</v>
      </c>
      <c r="I94" s="6">
        <v>3.4</v>
      </c>
      <c r="J94" s="6">
        <v>-37.200000000000003</v>
      </c>
      <c r="K94" s="6">
        <v>5.1999999999999998E-2</v>
      </c>
      <c r="L94" s="6">
        <v>5.19</v>
      </c>
      <c r="M94" s="6">
        <v>-8.65</v>
      </c>
      <c r="N94" s="6">
        <v>4</v>
      </c>
      <c r="O94" s="6">
        <v>0</v>
      </c>
      <c r="P94" s="6">
        <v>0</v>
      </c>
      <c r="Q94" s="6">
        <v>0</v>
      </c>
      <c r="R94" s="6">
        <v>2.72</v>
      </c>
      <c r="S94" s="6">
        <v>-44.6</v>
      </c>
      <c r="T94" s="6">
        <v>1.67</v>
      </c>
      <c r="U94" s="6">
        <v>4.1300000000000003E-2</v>
      </c>
      <c r="V94" s="6">
        <v>3.7</v>
      </c>
      <c r="W94" s="6">
        <v>0.219</v>
      </c>
    </row>
    <row r="95" spans="1:23" x14ac:dyDescent="0.3">
      <c r="A95" s="7">
        <v>12</v>
      </c>
      <c r="B95" s="8" t="s">
        <v>115</v>
      </c>
      <c r="C95" s="8">
        <v>1</v>
      </c>
      <c r="D95" s="8" t="str">
        <f t="shared" si="1"/>
        <v>12,1940-1945,1</v>
      </c>
      <c r="E95" s="9">
        <v>0.94</v>
      </c>
      <c r="F95" s="9">
        <v>0</v>
      </c>
      <c r="G95" s="9">
        <v>0.59399999999999997</v>
      </c>
      <c r="H95" s="9">
        <v>2.8</v>
      </c>
      <c r="I95" s="9">
        <v>2.7</v>
      </c>
      <c r="J95" s="9">
        <v>64.599999999999994</v>
      </c>
      <c r="K95" s="9">
        <v>5.1999999999999998E-2</v>
      </c>
      <c r="L95" s="9">
        <v>4.99</v>
      </c>
      <c r="M95" s="9">
        <v>-7.13</v>
      </c>
      <c r="N95" s="9">
        <v>3.99</v>
      </c>
      <c r="O95" s="9">
        <v>0</v>
      </c>
      <c r="P95" s="9">
        <v>0</v>
      </c>
      <c r="Q95" s="9">
        <v>0</v>
      </c>
      <c r="R95" s="9">
        <v>2.5099999999999998</v>
      </c>
      <c r="S95" s="9">
        <v>-21.9</v>
      </c>
      <c r="T95" s="9">
        <v>1.66</v>
      </c>
      <c r="U95" s="9">
        <v>1.03E-2</v>
      </c>
      <c r="V95" s="9">
        <v>6.1</v>
      </c>
      <c r="W95" s="9">
        <v>0.219</v>
      </c>
    </row>
    <row r="96" spans="1:23" x14ac:dyDescent="0.3">
      <c r="A96" s="4">
        <v>12</v>
      </c>
      <c r="B96" s="5" t="s">
        <v>116</v>
      </c>
      <c r="C96" s="5">
        <v>1</v>
      </c>
      <c r="D96" s="5" t="str">
        <f t="shared" si="1"/>
        <v>12,1945-1950,1</v>
      </c>
      <c r="E96" s="6">
        <v>0.94</v>
      </c>
      <c r="F96" s="6">
        <v>0</v>
      </c>
      <c r="G96" s="6">
        <v>0.59399999999999997</v>
      </c>
      <c r="H96" s="6">
        <v>2.8</v>
      </c>
      <c r="I96" s="6">
        <v>3</v>
      </c>
      <c r="J96" s="6">
        <v>12.3</v>
      </c>
      <c r="K96" s="6">
        <v>5.1999999999999998E-2</v>
      </c>
      <c r="L96" s="6">
        <v>6.1</v>
      </c>
      <c r="M96" s="6">
        <v>-16.7</v>
      </c>
      <c r="N96" s="6">
        <v>4</v>
      </c>
      <c r="O96" s="6">
        <v>0</v>
      </c>
      <c r="P96" s="6">
        <v>0</v>
      </c>
      <c r="Q96" s="6">
        <v>0</v>
      </c>
      <c r="R96" s="6">
        <v>2.2599999999999998</v>
      </c>
      <c r="S96" s="6">
        <v>-8.9600000000000009</v>
      </c>
      <c r="T96" s="6">
        <v>1.64</v>
      </c>
      <c r="U96" s="6">
        <v>3.1699999999999999E-2</v>
      </c>
      <c r="V96" s="6">
        <v>4.5</v>
      </c>
      <c r="W96" s="6">
        <v>0.219</v>
      </c>
    </row>
    <row r="97" spans="1:23" x14ac:dyDescent="0.3">
      <c r="A97" s="7">
        <v>12</v>
      </c>
      <c r="B97" s="8" t="s">
        <v>117</v>
      </c>
      <c r="C97" s="8">
        <v>1</v>
      </c>
      <c r="D97" s="8" t="str">
        <f t="shared" si="1"/>
        <v>12,1950-1955,1</v>
      </c>
      <c r="E97" s="9">
        <v>0.94</v>
      </c>
      <c r="F97" s="9">
        <v>0</v>
      </c>
      <c r="G97" s="9">
        <v>0.59399999999999997</v>
      </c>
      <c r="H97" s="9">
        <v>2.8</v>
      </c>
      <c r="I97" s="9">
        <v>3.4</v>
      </c>
      <c r="J97" s="9">
        <v>-37.700000000000003</v>
      </c>
      <c r="K97" s="9">
        <v>5.1999999999999998E-2</v>
      </c>
      <c r="L97" s="9">
        <v>6.47</v>
      </c>
      <c r="M97" s="9">
        <v>-20.5</v>
      </c>
      <c r="N97" s="9">
        <v>4.05</v>
      </c>
      <c r="O97" s="9">
        <v>0</v>
      </c>
      <c r="P97" s="9">
        <v>0</v>
      </c>
      <c r="Q97" s="9">
        <v>0</v>
      </c>
      <c r="R97" s="9">
        <v>2.33</v>
      </c>
      <c r="S97" s="9">
        <v>-13.9</v>
      </c>
      <c r="T97" s="9">
        <v>1.65</v>
      </c>
      <c r="U97" s="9">
        <v>3.3500000000000002E-2</v>
      </c>
      <c r="V97" s="9">
        <v>4.8</v>
      </c>
      <c r="W97" s="9">
        <v>0.219</v>
      </c>
    </row>
    <row r="98" spans="1:23" x14ac:dyDescent="0.3">
      <c r="A98" s="4">
        <v>12</v>
      </c>
      <c r="B98" s="5" t="s">
        <v>118</v>
      </c>
      <c r="C98" s="5">
        <v>1</v>
      </c>
      <c r="D98" s="5" t="str">
        <f t="shared" si="1"/>
        <v>12,1955-1960,1</v>
      </c>
      <c r="E98" s="6">
        <v>0.94</v>
      </c>
      <c r="F98" s="6">
        <v>0</v>
      </c>
      <c r="G98" s="6">
        <v>0.59399999999999997</v>
      </c>
      <c r="H98" s="6">
        <v>2.8</v>
      </c>
      <c r="I98" s="6">
        <v>3.1</v>
      </c>
      <c r="J98" s="6">
        <v>11.6</v>
      </c>
      <c r="K98" s="6">
        <v>5.1999999999999998E-2</v>
      </c>
      <c r="L98" s="6">
        <v>6.84</v>
      </c>
      <c r="M98" s="6">
        <v>-25.1</v>
      </c>
      <c r="N98" s="6">
        <v>4.01</v>
      </c>
      <c r="O98" s="6">
        <v>0</v>
      </c>
      <c r="P98" s="6">
        <v>0</v>
      </c>
      <c r="Q98" s="6">
        <v>0</v>
      </c>
      <c r="R98" s="6">
        <v>2.25</v>
      </c>
      <c r="S98" s="6">
        <v>-6</v>
      </c>
      <c r="T98" s="6">
        <v>1.65</v>
      </c>
      <c r="U98" s="6">
        <v>4.0599999999999997E-2</v>
      </c>
      <c r="V98" s="6">
        <v>3.6</v>
      </c>
      <c r="W98" s="6">
        <v>0.219</v>
      </c>
    </row>
    <row r="99" spans="1:23" x14ac:dyDescent="0.3">
      <c r="A99" s="7">
        <v>12</v>
      </c>
      <c r="B99" s="8" t="s">
        <v>119</v>
      </c>
      <c r="C99" s="8">
        <v>1</v>
      </c>
      <c r="D99" s="8" t="str">
        <f t="shared" si="1"/>
        <v>12,1960-1965,1</v>
      </c>
      <c r="E99" s="9">
        <v>0.94</v>
      </c>
      <c r="F99" s="9">
        <v>0</v>
      </c>
      <c r="G99" s="9">
        <v>0.59399999999999997</v>
      </c>
      <c r="H99" s="9">
        <v>2.6</v>
      </c>
      <c r="I99" s="9">
        <v>3.1</v>
      </c>
      <c r="J99" s="9">
        <v>16.600000000000001</v>
      </c>
      <c r="K99" s="9">
        <v>5.1999999999999998E-2</v>
      </c>
      <c r="L99" s="9">
        <v>7.22</v>
      </c>
      <c r="M99" s="9">
        <v>-30.4</v>
      </c>
      <c r="N99" s="9">
        <v>4</v>
      </c>
      <c r="O99" s="9">
        <v>0</v>
      </c>
      <c r="P99" s="9">
        <v>0</v>
      </c>
      <c r="Q99" s="9">
        <v>0</v>
      </c>
      <c r="R99" s="9">
        <v>2.23</v>
      </c>
      <c r="S99" s="9">
        <v>-1.1299999999999999</v>
      </c>
      <c r="T99" s="9">
        <v>1.67</v>
      </c>
      <c r="U99" s="9">
        <v>3.6600000000000001E-2</v>
      </c>
      <c r="V99" s="9">
        <v>3.1</v>
      </c>
      <c r="W99" s="9">
        <v>0.219</v>
      </c>
    </row>
    <row r="100" spans="1:23" x14ac:dyDescent="0.3">
      <c r="A100" s="4">
        <v>12</v>
      </c>
      <c r="B100" s="5" t="s">
        <v>120</v>
      </c>
      <c r="C100" s="5">
        <v>1</v>
      </c>
      <c r="D100" s="5" t="str">
        <f t="shared" si="1"/>
        <v>12,1965-1970,1</v>
      </c>
      <c r="E100" s="6">
        <v>0.94</v>
      </c>
      <c r="F100" s="6">
        <v>0</v>
      </c>
      <c r="G100" s="6">
        <v>0.59399999999999997</v>
      </c>
      <c r="H100" s="6">
        <v>2.6</v>
      </c>
      <c r="I100" s="6">
        <v>3.1</v>
      </c>
      <c r="J100" s="6">
        <v>-1.3</v>
      </c>
      <c r="K100" s="6">
        <v>5.1999999999999998E-2</v>
      </c>
      <c r="L100" s="6">
        <v>7.62</v>
      </c>
      <c r="M100" s="6">
        <v>-36.9</v>
      </c>
      <c r="N100" s="6">
        <v>4.0199999999999996</v>
      </c>
      <c r="O100" s="6">
        <v>0</v>
      </c>
      <c r="P100" s="6">
        <v>0</v>
      </c>
      <c r="Q100" s="6">
        <v>0</v>
      </c>
      <c r="R100" s="6">
        <v>2.14</v>
      </c>
      <c r="S100" s="6">
        <v>6.78</v>
      </c>
      <c r="T100" s="6">
        <v>1.69</v>
      </c>
      <c r="U100" s="6">
        <v>3.9600000000000003E-2</v>
      </c>
      <c r="V100" s="6">
        <v>2.2999999999999998</v>
      </c>
      <c r="W100" s="6">
        <v>0.219</v>
      </c>
    </row>
    <row r="101" spans="1:23" x14ac:dyDescent="0.3">
      <c r="A101" s="7">
        <v>12</v>
      </c>
      <c r="B101" s="8" t="s">
        <v>121</v>
      </c>
      <c r="C101" s="8">
        <v>1</v>
      </c>
      <c r="D101" s="8" t="str">
        <f t="shared" si="1"/>
        <v>12,1970-1975,1</v>
      </c>
      <c r="E101" s="9">
        <v>0.94</v>
      </c>
      <c r="F101" s="9">
        <v>0</v>
      </c>
      <c r="G101" s="9">
        <v>0.59399999999999997</v>
      </c>
      <c r="H101" s="9">
        <v>2.6</v>
      </c>
      <c r="I101" s="9">
        <v>3</v>
      </c>
      <c r="J101" s="9">
        <v>9.8000000000000007</v>
      </c>
      <c r="K101" s="9">
        <v>5.1999999999999998E-2</v>
      </c>
      <c r="L101" s="9">
        <v>8.7799999999999994</v>
      </c>
      <c r="M101" s="9">
        <v>-56.3</v>
      </c>
      <c r="N101" s="9">
        <v>4.1100000000000003</v>
      </c>
      <c r="O101" s="9">
        <v>0</v>
      </c>
      <c r="P101" s="9">
        <v>0</v>
      </c>
      <c r="Q101" s="9">
        <v>0</v>
      </c>
      <c r="R101" s="9">
        <v>2.31</v>
      </c>
      <c r="S101" s="9">
        <v>-13.3</v>
      </c>
      <c r="T101" s="9">
        <v>1.71</v>
      </c>
      <c r="U101" s="9">
        <v>4.4900000000000002E-2</v>
      </c>
      <c r="V101" s="9">
        <v>1.1000000000000001</v>
      </c>
      <c r="W101" s="9">
        <v>0.219</v>
      </c>
    </row>
    <row r="102" spans="1:23" x14ac:dyDescent="0.3">
      <c r="A102" s="4">
        <v>12</v>
      </c>
      <c r="B102" s="5" t="s">
        <v>122</v>
      </c>
      <c r="C102" s="5">
        <v>1</v>
      </c>
      <c r="D102" s="5" t="str">
        <f t="shared" si="1"/>
        <v>12,1975-1980,1</v>
      </c>
      <c r="E102" s="6">
        <v>0.94</v>
      </c>
      <c r="F102" s="6">
        <v>0</v>
      </c>
      <c r="G102" s="6">
        <v>0.59399999999999997</v>
      </c>
      <c r="H102" s="6">
        <v>2.6</v>
      </c>
      <c r="I102" s="6">
        <v>3</v>
      </c>
      <c r="J102" s="6">
        <v>-4.5999999999999996</v>
      </c>
      <c r="K102" s="6">
        <v>5.1999999999999998E-2</v>
      </c>
      <c r="L102" s="6">
        <v>7.59</v>
      </c>
      <c r="M102" s="6">
        <v>-37.299999999999997</v>
      </c>
      <c r="N102" s="6">
        <v>4.03</v>
      </c>
      <c r="O102" s="6">
        <v>0</v>
      </c>
      <c r="P102" s="6">
        <v>0</v>
      </c>
      <c r="Q102" s="6">
        <v>0</v>
      </c>
      <c r="R102" s="6">
        <v>2.46</v>
      </c>
      <c r="S102" s="6">
        <v>-24.6</v>
      </c>
      <c r="T102" s="6">
        <v>1.74</v>
      </c>
      <c r="U102" s="6">
        <v>4.3700000000000003E-2</v>
      </c>
      <c r="V102" s="6">
        <v>2.2000000000000002</v>
      </c>
      <c r="W102" s="6">
        <v>0.219</v>
      </c>
    </row>
    <row r="103" spans="1:23" x14ac:dyDescent="0.3">
      <c r="A103" s="7">
        <v>12</v>
      </c>
      <c r="B103" s="8" t="s">
        <v>123</v>
      </c>
      <c r="C103" s="8">
        <v>1</v>
      </c>
      <c r="D103" s="8" t="str">
        <f t="shared" si="1"/>
        <v>12,1980-1985,1</v>
      </c>
      <c r="E103" s="9">
        <v>0.94</v>
      </c>
      <c r="F103" s="9">
        <v>0</v>
      </c>
      <c r="G103" s="9">
        <v>0.59399999999999997</v>
      </c>
      <c r="H103" s="9">
        <v>2.6</v>
      </c>
      <c r="I103" s="9">
        <v>3.2</v>
      </c>
      <c r="J103" s="9">
        <v>-2.1</v>
      </c>
      <c r="K103" s="9">
        <v>5.1999999999999998E-2</v>
      </c>
      <c r="L103" s="9">
        <v>7.11</v>
      </c>
      <c r="M103" s="9">
        <v>-31.1</v>
      </c>
      <c r="N103" s="9">
        <v>4.04</v>
      </c>
      <c r="O103" s="9">
        <v>0</v>
      </c>
      <c r="P103" s="9">
        <v>0</v>
      </c>
      <c r="Q103" s="9">
        <v>0</v>
      </c>
      <c r="R103" s="9">
        <v>2.5499999999999998</v>
      </c>
      <c r="S103" s="9">
        <v>-35.299999999999997</v>
      </c>
      <c r="T103" s="9">
        <v>1.78</v>
      </c>
      <c r="U103" s="9">
        <v>3.9800000000000002E-2</v>
      </c>
      <c r="V103" s="9">
        <v>4.0999999999999996</v>
      </c>
      <c r="W103" s="9">
        <v>0.219</v>
      </c>
    </row>
    <row r="104" spans="1:23" x14ac:dyDescent="0.3">
      <c r="A104" s="4">
        <v>12</v>
      </c>
      <c r="B104" s="5" t="s">
        <v>124</v>
      </c>
      <c r="C104" s="5">
        <v>1</v>
      </c>
      <c r="D104" s="5" t="str">
        <f t="shared" si="1"/>
        <v>12,1985-1990,1</v>
      </c>
      <c r="E104" s="6">
        <v>0.94</v>
      </c>
      <c r="F104" s="6">
        <v>0</v>
      </c>
      <c r="G104" s="6">
        <v>0.59399999999999997</v>
      </c>
      <c r="H104" s="6">
        <v>2.7</v>
      </c>
      <c r="I104" s="6">
        <v>3.4</v>
      </c>
      <c r="J104" s="6">
        <v>-29.7</v>
      </c>
      <c r="K104" s="6">
        <v>5.1999999999999998E-2</v>
      </c>
      <c r="L104" s="6">
        <v>6.59</v>
      </c>
      <c r="M104" s="6">
        <v>-24.7</v>
      </c>
      <c r="N104" s="6">
        <v>4.05</v>
      </c>
      <c r="O104" s="6">
        <v>0</v>
      </c>
      <c r="P104" s="6">
        <v>0</v>
      </c>
      <c r="Q104" s="6">
        <v>0</v>
      </c>
      <c r="R104" s="6">
        <v>2.27</v>
      </c>
      <c r="S104" s="6">
        <v>-14.2</v>
      </c>
      <c r="T104" s="6">
        <v>1.71</v>
      </c>
      <c r="U104" s="6">
        <v>5.16E-2</v>
      </c>
      <c r="V104" s="6">
        <v>3.2</v>
      </c>
      <c r="W104" s="6">
        <v>0.219</v>
      </c>
    </row>
    <row r="105" spans="1:23" x14ac:dyDescent="0.3">
      <c r="A105" s="7">
        <v>12</v>
      </c>
      <c r="B105" s="8" t="s">
        <v>125</v>
      </c>
      <c r="C105" s="8">
        <v>1</v>
      </c>
      <c r="D105" s="8" t="str">
        <f t="shared" si="1"/>
        <v>12,1990-1995,1</v>
      </c>
      <c r="E105" s="9">
        <v>0.94</v>
      </c>
      <c r="F105" s="9">
        <v>0</v>
      </c>
      <c r="G105" s="9">
        <v>0.59399999999999997</v>
      </c>
      <c r="H105" s="9">
        <v>2.8</v>
      </c>
      <c r="I105" s="9">
        <v>3.4</v>
      </c>
      <c r="J105" s="9">
        <v>-11.4</v>
      </c>
      <c r="K105" s="9">
        <v>5.1999999999999998E-2</v>
      </c>
      <c r="L105" s="9">
        <v>6.69</v>
      </c>
      <c r="M105" s="9">
        <v>-25.3</v>
      </c>
      <c r="N105" s="9">
        <v>4.04</v>
      </c>
      <c r="O105" s="9">
        <v>0</v>
      </c>
      <c r="P105" s="9">
        <v>0</v>
      </c>
      <c r="Q105" s="9">
        <v>0</v>
      </c>
      <c r="R105" s="9">
        <v>2.2999999999999998</v>
      </c>
      <c r="S105" s="9">
        <v>-15.8</v>
      </c>
      <c r="T105" s="9">
        <v>1.73</v>
      </c>
      <c r="U105" s="9">
        <v>5.2600000000000001E-2</v>
      </c>
      <c r="V105" s="9">
        <v>3.6</v>
      </c>
      <c r="W105" s="9">
        <v>0.219</v>
      </c>
    </row>
    <row r="106" spans="1:23" x14ac:dyDescent="0.3">
      <c r="A106" s="4">
        <v>12</v>
      </c>
      <c r="B106" s="5" t="s">
        <v>126</v>
      </c>
      <c r="C106" s="5">
        <v>1</v>
      </c>
      <c r="D106" s="5" t="str">
        <f t="shared" si="1"/>
        <v>12,1995-2000,1</v>
      </c>
      <c r="E106" s="6">
        <v>0.94</v>
      </c>
      <c r="F106" s="6">
        <v>0</v>
      </c>
      <c r="G106" s="6">
        <v>0.59399999999999997</v>
      </c>
      <c r="H106" s="6">
        <v>2.8</v>
      </c>
      <c r="I106" s="6">
        <v>3.5</v>
      </c>
      <c r="J106" s="6">
        <v>-23.8</v>
      </c>
      <c r="K106" s="6">
        <v>5.1999999999999998E-2</v>
      </c>
      <c r="L106" s="6">
        <v>6.25</v>
      </c>
      <c r="M106" s="6">
        <v>-21.4</v>
      </c>
      <c r="N106" s="6">
        <v>4.04</v>
      </c>
      <c r="O106" s="6">
        <v>0</v>
      </c>
      <c r="P106" s="6">
        <v>0</v>
      </c>
      <c r="Q106" s="6">
        <v>0</v>
      </c>
      <c r="R106" s="6">
        <v>2.37</v>
      </c>
      <c r="S106" s="6">
        <v>-19.3</v>
      </c>
      <c r="T106" s="6">
        <v>1.72</v>
      </c>
      <c r="U106" s="6">
        <v>4.2500000000000003E-2</v>
      </c>
      <c r="V106" s="6">
        <v>3.8</v>
      </c>
      <c r="W106" s="6">
        <v>0.219</v>
      </c>
    </row>
    <row r="107" spans="1:23" x14ac:dyDescent="0.3">
      <c r="A107" s="7">
        <v>12</v>
      </c>
      <c r="B107" s="8" t="s">
        <v>127</v>
      </c>
      <c r="C107" s="8">
        <v>1</v>
      </c>
      <c r="D107" s="8" t="str">
        <f t="shared" si="1"/>
        <v>12,2000-2005,1</v>
      </c>
      <c r="E107" s="9">
        <v>0.94</v>
      </c>
      <c r="F107" s="9">
        <v>0</v>
      </c>
      <c r="G107" s="9">
        <v>0.59399999999999997</v>
      </c>
      <c r="H107" s="9">
        <v>2.8</v>
      </c>
      <c r="I107" s="9">
        <v>3.5</v>
      </c>
      <c r="J107" s="9">
        <v>-30.8</v>
      </c>
      <c r="K107" s="9">
        <v>5.1999999999999998E-2</v>
      </c>
      <c r="L107" s="9">
        <v>6.21</v>
      </c>
      <c r="M107" s="9">
        <v>-20.9</v>
      </c>
      <c r="N107" s="9">
        <v>4.0199999999999996</v>
      </c>
      <c r="O107" s="9">
        <v>0</v>
      </c>
      <c r="P107" s="9">
        <v>0</v>
      </c>
      <c r="Q107" s="9">
        <v>0</v>
      </c>
      <c r="R107" s="9">
        <v>2.42</v>
      </c>
      <c r="S107" s="9">
        <v>-22.5</v>
      </c>
      <c r="T107" s="9">
        <v>1.74</v>
      </c>
      <c r="U107" s="9">
        <v>4.3999999999999997E-2</v>
      </c>
      <c r="V107" s="9">
        <v>2.9</v>
      </c>
      <c r="W107" s="9">
        <v>0.219</v>
      </c>
    </row>
    <row r="108" spans="1:23" x14ac:dyDescent="0.3">
      <c r="A108" s="4">
        <v>12</v>
      </c>
      <c r="B108" s="5" t="s">
        <v>128</v>
      </c>
      <c r="C108" s="5">
        <v>1</v>
      </c>
      <c r="D108" s="5" t="str">
        <f t="shared" si="1"/>
        <v>12,2005-2010,1</v>
      </c>
      <c r="E108" s="6">
        <v>0.94</v>
      </c>
      <c r="F108" s="6">
        <v>0</v>
      </c>
      <c r="G108" s="6">
        <v>0.59399999999999997</v>
      </c>
      <c r="H108" s="6">
        <v>2.8</v>
      </c>
      <c r="I108" s="6">
        <v>3.5</v>
      </c>
      <c r="J108" s="6">
        <v>-16.5</v>
      </c>
      <c r="K108" s="6">
        <v>5.1999999999999998E-2</v>
      </c>
      <c r="L108" s="6">
        <v>6.32</v>
      </c>
      <c r="M108" s="6">
        <v>-22</v>
      </c>
      <c r="N108" s="6">
        <v>4.0199999999999996</v>
      </c>
      <c r="O108" s="6">
        <v>0</v>
      </c>
      <c r="P108" s="6">
        <v>0</v>
      </c>
      <c r="Q108" s="6">
        <v>0</v>
      </c>
      <c r="R108" s="6">
        <v>0.86199999999999999</v>
      </c>
      <c r="S108" s="6">
        <v>258</v>
      </c>
      <c r="T108" s="6">
        <v>1.82</v>
      </c>
      <c r="U108" s="6">
        <v>3.2800000000000003E-2</v>
      </c>
      <c r="V108" s="6">
        <v>4.7</v>
      </c>
      <c r="W108" s="6">
        <v>0.219</v>
      </c>
    </row>
    <row r="109" spans="1:23" x14ac:dyDescent="0.3">
      <c r="A109" s="7">
        <v>12</v>
      </c>
      <c r="B109" s="8" t="s">
        <v>129</v>
      </c>
      <c r="C109" s="8">
        <v>1</v>
      </c>
      <c r="D109" s="8" t="str">
        <f t="shared" si="1"/>
        <v>12,2010-2015,1</v>
      </c>
      <c r="E109" s="9">
        <v>0.94</v>
      </c>
      <c r="F109" s="9">
        <v>0</v>
      </c>
      <c r="G109" s="9">
        <v>0.59399999999999997</v>
      </c>
      <c r="H109" s="9">
        <v>2.9</v>
      </c>
      <c r="I109" s="9">
        <v>3.6</v>
      </c>
      <c r="J109" s="9">
        <v>-14.7</v>
      </c>
      <c r="K109" s="9">
        <v>5.1999999999999998E-2</v>
      </c>
      <c r="L109" s="9">
        <v>6.52</v>
      </c>
      <c r="M109" s="9">
        <v>-24.3</v>
      </c>
      <c r="N109" s="9">
        <v>4.01</v>
      </c>
      <c r="O109" s="9">
        <v>0</v>
      </c>
      <c r="P109" s="9">
        <v>0</v>
      </c>
      <c r="Q109" s="9">
        <v>0</v>
      </c>
      <c r="R109" s="9">
        <v>2.48</v>
      </c>
      <c r="S109" s="9">
        <v>-15.4</v>
      </c>
      <c r="T109" s="9">
        <v>1.85</v>
      </c>
      <c r="U109" s="9">
        <v>4.1300000000000003E-2</v>
      </c>
      <c r="V109" s="9">
        <v>3</v>
      </c>
      <c r="W109" s="9">
        <v>0.219</v>
      </c>
    </row>
    <row r="110" spans="1:23" x14ac:dyDescent="0.3">
      <c r="A110" s="4">
        <v>12</v>
      </c>
      <c r="B110" s="5" t="s">
        <v>130</v>
      </c>
      <c r="C110" s="5">
        <v>1</v>
      </c>
      <c r="D110" s="5" t="str">
        <f t="shared" si="1"/>
        <v>12,2015-2020,1</v>
      </c>
      <c r="E110" s="6">
        <v>0.94</v>
      </c>
      <c r="F110" s="6">
        <v>0</v>
      </c>
      <c r="G110" s="6">
        <v>0.59399999999999997</v>
      </c>
      <c r="H110" s="6">
        <v>3</v>
      </c>
      <c r="I110" s="6">
        <v>4.0999999999999996</v>
      </c>
      <c r="J110" s="6">
        <v>-79.7</v>
      </c>
      <c r="K110" s="6">
        <v>5.1999999999999998E-2</v>
      </c>
      <c r="L110" s="6">
        <v>5.84</v>
      </c>
      <c r="M110" s="6">
        <v>-16.2</v>
      </c>
      <c r="N110" s="6">
        <v>4</v>
      </c>
      <c r="O110" s="6">
        <v>0</v>
      </c>
      <c r="P110" s="6">
        <v>0</v>
      </c>
      <c r="Q110" s="6">
        <v>0</v>
      </c>
      <c r="R110" s="6">
        <v>2.4300000000000002</v>
      </c>
      <c r="S110" s="6">
        <v>4.24</v>
      </c>
      <c r="T110" s="6">
        <v>1.93</v>
      </c>
      <c r="U110" s="6">
        <v>3.3599999999999998E-2</v>
      </c>
      <c r="V110" s="6">
        <v>2.8</v>
      </c>
      <c r="W110" s="6">
        <v>0.219</v>
      </c>
    </row>
    <row r="111" spans="1:23" x14ac:dyDescent="0.3">
      <c r="A111" s="7">
        <v>12</v>
      </c>
      <c r="B111" s="8" t="s">
        <v>131</v>
      </c>
      <c r="C111" s="8">
        <v>1</v>
      </c>
      <c r="D111" s="8" t="str">
        <f t="shared" si="1"/>
        <v>12,2020-,1</v>
      </c>
      <c r="E111" s="9">
        <v>0.94</v>
      </c>
      <c r="F111" s="9">
        <v>0</v>
      </c>
      <c r="G111" s="9">
        <v>0.59399999999999997</v>
      </c>
      <c r="H111" s="9">
        <v>3.1</v>
      </c>
      <c r="I111" s="9">
        <v>3.4</v>
      </c>
      <c r="J111" s="9">
        <v>111.4</v>
      </c>
      <c r="K111" s="9">
        <v>5.1999999999999998E-2</v>
      </c>
      <c r="L111" s="9">
        <v>6.71</v>
      </c>
      <c r="M111" s="9">
        <v>-24.8</v>
      </c>
      <c r="N111" s="9">
        <v>3.98</v>
      </c>
      <c r="O111" s="9">
        <v>0</v>
      </c>
      <c r="P111" s="9">
        <v>0</v>
      </c>
      <c r="Q111" s="9">
        <v>0</v>
      </c>
      <c r="R111" s="9">
        <v>2.79</v>
      </c>
      <c r="S111" s="9">
        <v>-17.399999999999999</v>
      </c>
      <c r="T111" s="9">
        <v>2.13</v>
      </c>
      <c r="U111" s="9">
        <v>2.6599999999999999E-2</v>
      </c>
      <c r="V111" s="9">
        <v>4.3</v>
      </c>
      <c r="W111" s="9">
        <v>0.219</v>
      </c>
    </row>
    <row r="112" spans="1:23" x14ac:dyDescent="0.3">
      <c r="A112" s="4">
        <v>12</v>
      </c>
      <c r="B112" s="5">
        <v>-1920</v>
      </c>
      <c r="C112" s="5">
        <v>1.5</v>
      </c>
      <c r="D112" s="5" t="str">
        <f t="shared" si="1"/>
        <v>12,-1920,1,5</v>
      </c>
      <c r="E112" s="6">
        <v>0.1</v>
      </c>
      <c r="F112" s="6">
        <v>101</v>
      </c>
      <c r="G112" s="6">
        <v>0.1</v>
      </c>
      <c r="H112" s="6">
        <v>2.8</v>
      </c>
      <c r="I112" s="6">
        <v>2.9</v>
      </c>
      <c r="J112" s="6">
        <v>-1</v>
      </c>
      <c r="K112" s="6">
        <v>5.1999999999999998E-2</v>
      </c>
      <c r="L112" s="6">
        <v>5.23</v>
      </c>
      <c r="M112" s="6">
        <v>-8.44</v>
      </c>
      <c r="N112" s="6">
        <v>4.03</v>
      </c>
      <c r="O112" s="6">
        <v>0.24</v>
      </c>
      <c r="P112" s="6">
        <v>-11</v>
      </c>
      <c r="Q112" s="6">
        <v>0.22655</v>
      </c>
      <c r="R112" s="6">
        <v>3.5544600000000002</v>
      </c>
      <c r="S112" s="6">
        <v>-44.8</v>
      </c>
      <c r="T112" s="6">
        <v>2.1021000000000001</v>
      </c>
      <c r="U112" s="6">
        <v>3.6799999999999999E-2</v>
      </c>
      <c r="V112" s="6">
        <v>5.0999999999999996</v>
      </c>
      <c r="W112" s="6">
        <v>0.23</v>
      </c>
    </row>
    <row r="113" spans="1:23" x14ac:dyDescent="0.3">
      <c r="A113" s="7">
        <v>12</v>
      </c>
      <c r="B113" s="8" t="s">
        <v>111</v>
      </c>
      <c r="C113" s="8">
        <v>1.5</v>
      </c>
      <c r="D113" s="8" t="str">
        <f t="shared" si="1"/>
        <v>12,1920-1925,1,5</v>
      </c>
      <c r="E113" s="9">
        <v>0.1</v>
      </c>
      <c r="F113" s="9">
        <v>101</v>
      </c>
      <c r="G113" s="9">
        <v>0.1</v>
      </c>
      <c r="H113" s="9">
        <v>2.8</v>
      </c>
      <c r="I113" s="9">
        <v>2.9</v>
      </c>
      <c r="J113" s="9">
        <v>-1</v>
      </c>
      <c r="K113" s="9">
        <v>5.1999999999999998E-2</v>
      </c>
      <c r="L113" s="9">
        <v>4.9800000000000004</v>
      </c>
      <c r="M113" s="9">
        <v>-5.89</v>
      </c>
      <c r="N113" s="9">
        <v>4.03</v>
      </c>
      <c r="O113" s="9">
        <v>0.24</v>
      </c>
      <c r="P113" s="9">
        <v>-11</v>
      </c>
      <c r="Q113" s="9">
        <v>0.22655</v>
      </c>
      <c r="R113" s="9">
        <v>3.21048</v>
      </c>
      <c r="S113" s="9">
        <v>-27</v>
      </c>
      <c r="T113" s="9">
        <v>2.1021000000000001</v>
      </c>
      <c r="U113" s="9">
        <v>2.3599999999999999E-2</v>
      </c>
      <c r="V113" s="9">
        <v>6.4</v>
      </c>
      <c r="W113" s="9">
        <v>0.23</v>
      </c>
    </row>
    <row r="114" spans="1:23" x14ac:dyDescent="0.3">
      <c r="A114" s="4">
        <v>12</v>
      </c>
      <c r="B114" s="5" t="s">
        <v>112</v>
      </c>
      <c r="C114" s="5">
        <v>1.5</v>
      </c>
      <c r="D114" s="5" t="str">
        <f t="shared" si="1"/>
        <v>12,1925-1930,1,5</v>
      </c>
      <c r="E114" s="6">
        <v>0.1</v>
      </c>
      <c r="F114" s="6">
        <v>101</v>
      </c>
      <c r="G114" s="6">
        <v>0.1</v>
      </c>
      <c r="H114" s="6">
        <v>2.9</v>
      </c>
      <c r="I114" s="6">
        <v>3</v>
      </c>
      <c r="J114" s="6">
        <v>-1</v>
      </c>
      <c r="K114" s="6">
        <v>5.1999999999999998E-2</v>
      </c>
      <c r="L114" s="6">
        <v>4.97</v>
      </c>
      <c r="M114" s="6">
        <v>-5.75</v>
      </c>
      <c r="N114" s="6">
        <v>4.01</v>
      </c>
      <c r="O114" s="6">
        <v>0.24</v>
      </c>
      <c r="P114" s="6">
        <v>-11</v>
      </c>
      <c r="Q114" s="6">
        <v>0.22655</v>
      </c>
      <c r="R114" s="6">
        <v>2.9684200000000001</v>
      </c>
      <c r="S114" s="6">
        <v>-11.2</v>
      </c>
      <c r="T114" s="6">
        <v>2.1148400000000001</v>
      </c>
      <c r="U114" s="6">
        <v>1.8499999999999999E-2</v>
      </c>
      <c r="V114" s="6">
        <v>7</v>
      </c>
      <c r="W114" s="6">
        <v>0.23</v>
      </c>
    </row>
    <row r="115" spans="1:23" x14ac:dyDescent="0.3">
      <c r="A115" s="7">
        <v>12</v>
      </c>
      <c r="B115" s="8" t="s">
        <v>113</v>
      </c>
      <c r="C115" s="8">
        <v>1.5</v>
      </c>
      <c r="D115" s="8" t="str">
        <f t="shared" si="1"/>
        <v>12,1930-1935,1,5</v>
      </c>
      <c r="E115" s="9">
        <v>0.1</v>
      </c>
      <c r="F115" s="9">
        <v>101</v>
      </c>
      <c r="G115" s="9">
        <v>0.1</v>
      </c>
      <c r="H115" s="9">
        <v>2.9</v>
      </c>
      <c r="I115" s="9">
        <v>3</v>
      </c>
      <c r="J115" s="9">
        <v>-1</v>
      </c>
      <c r="K115" s="9">
        <v>5.1999999999999998E-2</v>
      </c>
      <c r="L115" s="9">
        <v>4.68</v>
      </c>
      <c r="M115" s="9">
        <v>-2.91</v>
      </c>
      <c r="N115" s="9">
        <v>4.09</v>
      </c>
      <c r="O115" s="9">
        <v>0.24</v>
      </c>
      <c r="P115" s="9">
        <v>-11</v>
      </c>
      <c r="Q115" s="9">
        <v>0.22655</v>
      </c>
      <c r="R115" s="9">
        <v>3.7965200000000001</v>
      </c>
      <c r="S115" s="9">
        <v>-68.3</v>
      </c>
      <c r="T115" s="9">
        <v>2.14032</v>
      </c>
      <c r="U115" s="9">
        <v>1.6400000000000001E-2</v>
      </c>
      <c r="V115" s="9">
        <v>7.4</v>
      </c>
      <c r="W115" s="9">
        <v>0.23</v>
      </c>
    </row>
    <row r="116" spans="1:23" x14ac:dyDescent="0.3">
      <c r="A116" s="4">
        <v>12</v>
      </c>
      <c r="B116" s="5" t="s">
        <v>114</v>
      </c>
      <c r="C116" s="5">
        <v>1.5</v>
      </c>
      <c r="D116" s="5" t="str">
        <f t="shared" si="1"/>
        <v>12,1935-1940,1,5</v>
      </c>
      <c r="E116" s="6">
        <v>0.1</v>
      </c>
      <c r="F116" s="6">
        <v>101</v>
      </c>
      <c r="G116" s="6">
        <v>0.1</v>
      </c>
      <c r="H116" s="6">
        <v>3</v>
      </c>
      <c r="I116" s="6">
        <v>3.1</v>
      </c>
      <c r="J116" s="6">
        <v>-1</v>
      </c>
      <c r="K116" s="6">
        <v>5.1999999999999998E-2</v>
      </c>
      <c r="L116" s="6">
        <v>5.19</v>
      </c>
      <c r="M116" s="6">
        <v>-8.65</v>
      </c>
      <c r="N116" s="6">
        <v>4</v>
      </c>
      <c r="O116" s="6">
        <v>0.24</v>
      </c>
      <c r="P116" s="6">
        <v>-11</v>
      </c>
      <c r="Q116" s="6">
        <v>0.22655</v>
      </c>
      <c r="R116" s="6">
        <v>3.4652799999999999</v>
      </c>
      <c r="S116" s="6">
        <v>-44.6</v>
      </c>
      <c r="T116" s="6">
        <v>2.12758</v>
      </c>
      <c r="U116" s="6">
        <v>4.1300000000000003E-2</v>
      </c>
      <c r="V116" s="6">
        <v>3.7</v>
      </c>
      <c r="W116" s="6">
        <v>0.23</v>
      </c>
    </row>
    <row r="117" spans="1:23" x14ac:dyDescent="0.3">
      <c r="A117" s="7">
        <v>12</v>
      </c>
      <c r="B117" s="8" t="s">
        <v>115</v>
      </c>
      <c r="C117" s="8">
        <v>1.5</v>
      </c>
      <c r="D117" s="8" t="str">
        <f t="shared" si="1"/>
        <v>12,1940-1945,1,5</v>
      </c>
      <c r="E117" s="9">
        <v>0.1</v>
      </c>
      <c r="F117" s="9">
        <v>101</v>
      </c>
      <c r="G117" s="9">
        <v>0.1</v>
      </c>
      <c r="H117" s="9">
        <v>3</v>
      </c>
      <c r="I117" s="9">
        <v>3.1</v>
      </c>
      <c r="J117" s="9">
        <v>-1</v>
      </c>
      <c r="K117" s="9">
        <v>5.1999999999999998E-2</v>
      </c>
      <c r="L117" s="9">
        <v>4.99</v>
      </c>
      <c r="M117" s="9">
        <v>-7.13</v>
      </c>
      <c r="N117" s="9">
        <v>3.99</v>
      </c>
      <c r="O117" s="9">
        <v>0.24</v>
      </c>
      <c r="P117" s="9">
        <v>-11</v>
      </c>
      <c r="Q117" s="9">
        <v>0.22655</v>
      </c>
      <c r="R117" s="9">
        <v>3.19774</v>
      </c>
      <c r="S117" s="9">
        <v>-21.9</v>
      </c>
      <c r="T117" s="9">
        <v>2.1148400000000001</v>
      </c>
      <c r="U117" s="9">
        <v>1.03E-2</v>
      </c>
      <c r="V117" s="9">
        <v>6.1</v>
      </c>
      <c r="W117" s="9">
        <v>0.23</v>
      </c>
    </row>
    <row r="118" spans="1:23" x14ac:dyDescent="0.3">
      <c r="A118" s="4">
        <v>12</v>
      </c>
      <c r="B118" s="5" t="s">
        <v>116</v>
      </c>
      <c r="C118" s="5">
        <v>1.5</v>
      </c>
      <c r="D118" s="5" t="str">
        <f t="shared" si="1"/>
        <v>12,1945-1950,1,5</v>
      </c>
      <c r="E118" s="6">
        <v>0.1</v>
      </c>
      <c r="F118" s="6">
        <v>101</v>
      </c>
      <c r="G118" s="6">
        <v>0.1</v>
      </c>
      <c r="H118" s="6">
        <v>3</v>
      </c>
      <c r="I118" s="6">
        <v>3.1</v>
      </c>
      <c r="J118" s="6">
        <v>-1</v>
      </c>
      <c r="K118" s="6">
        <v>5.1999999999999998E-2</v>
      </c>
      <c r="L118" s="6">
        <v>6.1</v>
      </c>
      <c r="M118" s="6">
        <v>-16.7</v>
      </c>
      <c r="N118" s="6">
        <v>4</v>
      </c>
      <c r="O118" s="6">
        <v>0.24</v>
      </c>
      <c r="P118" s="6">
        <v>-11</v>
      </c>
      <c r="Q118" s="6">
        <v>0.22655</v>
      </c>
      <c r="R118" s="6">
        <v>2.8792399999999998</v>
      </c>
      <c r="S118" s="6">
        <v>-8.9600000000000009</v>
      </c>
      <c r="T118" s="6">
        <v>2.0893600000000001</v>
      </c>
      <c r="U118" s="6">
        <v>3.1699999999999999E-2</v>
      </c>
      <c r="V118" s="6">
        <v>4.5</v>
      </c>
      <c r="W118" s="6">
        <v>0.23</v>
      </c>
    </row>
    <row r="119" spans="1:23" x14ac:dyDescent="0.3">
      <c r="A119" s="7">
        <v>12</v>
      </c>
      <c r="B119" s="8" t="s">
        <v>117</v>
      </c>
      <c r="C119" s="8">
        <v>1.5</v>
      </c>
      <c r="D119" s="8" t="str">
        <f t="shared" si="1"/>
        <v>12,1950-1955,1,5</v>
      </c>
      <c r="E119" s="9">
        <v>0.1</v>
      </c>
      <c r="F119" s="9">
        <v>101</v>
      </c>
      <c r="G119" s="9">
        <v>0.1</v>
      </c>
      <c r="H119" s="9">
        <v>3</v>
      </c>
      <c r="I119" s="9">
        <v>3.2</v>
      </c>
      <c r="J119" s="9">
        <v>-13.5</v>
      </c>
      <c r="K119" s="9">
        <v>5.1999999999999998E-2</v>
      </c>
      <c r="L119" s="9">
        <v>6.47</v>
      </c>
      <c r="M119" s="9">
        <v>-20.5</v>
      </c>
      <c r="N119" s="9">
        <v>4.05</v>
      </c>
      <c r="O119" s="9">
        <v>0.24</v>
      </c>
      <c r="P119" s="9">
        <v>-11</v>
      </c>
      <c r="Q119" s="9">
        <v>0.22655</v>
      </c>
      <c r="R119" s="9">
        <v>2.9684200000000001</v>
      </c>
      <c r="S119" s="9">
        <v>-13.9</v>
      </c>
      <c r="T119" s="9">
        <v>2.1021000000000001</v>
      </c>
      <c r="U119" s="9">
        <v>3.3500000000000002E-2</v>
      </c>
      <c r="V119" s="9">
        <v>4.8</v>
      </c>
      <c r="W119" s="9">
        <v>0.23</v>
      </c>
    </row>
    <row r="120" spans="1:23" x14ac:dyDescent="0.3">
      <c r="A120" s="4">
        <v>12</v>
      </c>
      <c r="B120" s="5" t="s">
        <v>118</v>
      </c>
      <c r="C120" s="5">
        <v>1.5</v>
      </c>
      <c r="D120" s="5" t="str">
        <f t="shared" si="1"/>
        <v>12,1955-1960,1,5</v>
      </c>
      <c r="E120" s="6">
        <v>0.1</v>
      </c>
      <c r="F120" s="6">
        <v>101</v>
      </c>
      <c r="G120" s="6">
        <v>0.1</v>
      </c>
      <c r="H120" s="6">
        <v>3</v>
      </c>
      <c r="I120" s="6">
        <v>3.3</v>
      </c>
      <c r="J120" s="6">
        <v>-17.3</v>
      </c>
      <c r="K120" s="6">
        <v>5.1999999999999998E-2</v>
      </c>
      <c r="L120" s="6">
        <v>6.84</v>
      </c>
      <c r="M120" s="6">
        <v>-25.1</v>
      </c>
      <c r="N120" s="6">
        <v>4.01</v>
      </c>
      <c r="O120" s="6">
        <v>0.24</v>
      </c>
      <c r="P120" s="6">
        <v>-11</v>
      </c>
      <c r="Q120" s="6">
        <v>0.22655</v>
      </c>
      <c r="R120" s="6">
        <v>2.8664999999999998</v>
      </c>
      <c r="S120" s="6">
        <v>-6</v>
      </c>
      <c r="T120" s="6">
        <v>2.1021000000000001</v>
      </c>
      <c r="U120" s="6">
        <v>4.0599999999999997E-2</v>
      </c>
      <c r="V120" s="6">
        <v>3.6</v>
      </c>
      <c r="W120" s="6">
        <v>0.23</v>
      </c>
    </row>
    <row r="121" spans="1:23" x14ac:dyDescent="0.3">
      <c r="A121" s="7">
        <v>12</v>
      </c>
      <c r="B121" s="8" t="s">
        <v>119</v>
      </c>
      <c r="C121" s="8">
        <v>1.5</v>
      </c>
      <c r="D121" s="8" t="str">
        <f t="shared" si="1"/>
        <v>12,1960-1965,1,5</v>
      </c>
      <c r="E121" s="9">
        <v>0.1</v>
      </c>
      <c r="F121" s="9">
        <v>101</v>
      </c>
      <c r="G121" s="9">
        <v>0.1</v>
      </c>
      <c r="H121" s="9">
        <v>3</v>
      </c>
      <c r="I121" s="9">
        <v>3.3</v>
      </c>
      <c r="J121" s="9">
        <v>-17.3</v>
      </c>
      <c r="K121" s="9">
        <v>5.1999999999999998E-2</v>
      </c>
      <c r="L121" s="9">
        <v>7.22</v>
      </c>
      <c r="M121" s="9">
        <v>-30.4</v>
      </c>
      <c r="N121" s="9">
        <v>4</v>
      </c>
      <c r="O121" s="9">
        <v>0.24</v>
      </c>
      <c r="P121" s="9">
        <v>-11</v>
      </c>
      <c r="Q121" s="9">
        <v>0.22655</v>
      </c>
      <c r="R121" s="9">
        <v>2.8410199999999999</v>
      </c>
      <c r="S121" s="9">
        <v>-1.1299999999999999</v>
      </c>
      <c r="T121" s="9">
        <v>2.12758</v>
      </c>
      <c r="U121" s="9">
        <v>3.6600000000000001E-2</v>
      </c>
      <c r="V121" s="9">
        <v>3.1</v>
      </c>
      <c r="W121" s="9">
        <v>0.23</v>
      </c>
    </row>
    <row r="122" spans="1:23" x14ac:dyDescent="0.3">
      <c r="A122" s="4">
        <v>12</v>
      </c>
      <c r="B122" s="5" t="s">
        <v>120</v>
      </c>
      <c r="C122" s="5">
        <v>1.5</v>
      </c>
      <c r="D122" s="5" t="str">
        <f t="shared" si="1"/>
        <v>12,1965-1970,1,5</v>
      </c>
      <c r="E122" s="6">
        <v>0.1</v>
      </c>
      <c r="F122" s="6">
        <v>101</v>
      </c>
      <c r="G122" s="6">
        <v>0.1</v>
      </c>
      <c r="H122" s="6">
        <v>3</v>
      </c>
      <c r="I122" s="6">
        <v>3.3</v>
      </c>
      <c r="J122" s="6">
        <v>-17.3</v>
      </c>
      <c r="K122" s="6">
        <v>5.1999999999999998E-2</v>
      </c>
      <c r="L122" s="6">
        <v>7.62</v>
      </c>
      <c r="M122" s="6">
        <v>-36.9</v>
      </c>
      <c r="N122" s="6">
        <v>4.0199999999999996</v>
      </c>
      <c r="O122" s="6">
        <v>0.24</v>
      </c>
      <c r="P122" s="6">
        <v>-11</v>
      </c>
      <c r="Q122" s="6">
        <v>0.22655</v>
      </c>
      <c r="R122" s="6">
        <v>2.7263600000000001</v>
      </c>
      <c r="S122" s="6">
        <v>6.78</v>
      </c>
      <c r="T122" s="6">
        <v>2.15306</v>
      </c>
      <c r="U122" s="6">
        <v>3.9600000000000003E-2</v>
      </c>
      <c r="V122" s="6">
        <v>2.2999999999999998</v>
      </c>
      <c r="W122" s="6">
        <v>0.23</v>
      </c>
    </row>
    <row r="123" spans="1:23" x14ac:dyDescent="0.3">
      <c r="A123" s="7">
        <v>12</v>
      </c>
      <c r="B123" s="8" t="s">
        <v>121</v>
      </c>
      <c r="C123" s="8">
        <v>1.5</v>
      </c>
      <c r="D123" s="8" t="str">
        <f t="shared" si="1"/>
        <v>12,1970-1975,1,5</v>
      </c>
      <c r="E123" s="9">
        <v>0.1</v>
      </c>
      <c r="F123" s="9">
        <v>101</v>
      </c>
      <c r="G123" s="9">
        <v>0.1</v>
      </c>
      <c r="H123" s="9">
        <v>3</v>
      </c>
      <c r="I123" s="9">
        <v>3.3</v>
      </c>
      <c r="J123" s="9">
        <v>-17.3</v>
      </c>
      <c r="K123" s="9">
        <v>5.1999999999999998E-2</v>
      </c>
      <c r="L123" s="9">
        <v>8.7799999999999994</v>
      </c>
      <c r="M123" s="9">
        <v>-56.3</v>
      </c>
      <c r="N123" s="9">
        <v>4.1100000000000003</v>
      </c>
      <c r="O123" s="9">
        <v>0.24</v>
      </c>
      <c r="P123" s="9">
        <v>-11</v>
      </c>
      <c r="Q123" s="9">
        <v>0.22655</v>
      </c>
      <c r="R123" s="9">
        <v>2.9429400000000001</v>
      </c>
      <c r="S123" s="9">
        <v>-13.3</v>
      </c>
      <c r="T123" s="9">
        <v>2.1785399999999999</v>
      </c>
      <c r="U123" s="9">
        <v>4.4900000000000002E-2</v>
      </c>
      <c r="V123" s="9">
        <v>1.1000000000000001</v>
      </c>
      <c r="W123" s="9">
        <v>0.23</v>
      </c>
    </row>
    <row r="124" spans="1:23" x14ac:dyDescent="0.3">
      <c r="A124" s="4">
        <v>12</v>
      </c>
      <c r="B124" s="5" t="s">
        <v>122</v>
      </c>
      <c r="C124" s="5">
        <v>1.5</v>
      </c>
      <c r="D124" s="5" t="str">
        <f t="shared" si="1"/>
        <v>12,1975-1980,1,5</v>
      </c>
      <c r="E124" s="6">
        <v>0.1</v>
      </c>
      <c r="F124" s="6">
        <v>101</v>
      </c>
      <c r="G124" s="6">
        <v>0.1</v>
      </c>
      <c r="H124" s="6">
        <v>3</v>
      </c>
      <c r="I124" s="6">
        <v>3.3</v>
      </c>
      <c r="J124" s="6">
        <v>-17.3</v>
      </c>
      <c r="K124" s="6">
        <v>5.1999999999999998E-2</v>
      </c>
      <c r="L124" s="6">
        <v>7.59</v>
      </c>
      <c r="M124" s="6">
        <v>-37.299999999999997</v>
      </c>
      <c r="N124" s="6">
        <v>4.03</v>
      </c>
      <c r="O124" s="6">
        <v>0.24</v>
      </c>
      <c r="P124" s="6">
        <v>-11</v>
      </c>
      <c r="Q124" s="6">
        <v>0.22655</v>
      </c>
      <c r="R124" s="6">
        <v>3.1340400000000002</v>
      </c>
      <c r="S124" s="6">
        <v>-24.6</v>
      </c>
      <c r="T124" s="6">
        <v>2.2167599999999998</v>
      </c>
      <c r="U124" s="6">
        <v>4.3700000000000003E-2</v>
      </c>
      <c r="V124" s="6">
        <v>2.2000000000000002</v>
      </c>
      <c r="W124" s="6">
        <v>0.23</v>
      </c>
    </row>
    <row r="125" spans="1:23" x14ac:dyDescent="0.3">
      <c r="A125" s="7">
        <v>12</v>
      </c>
      <c r="B125" s="8" t="s">
        <v>123</v>
      </c>
      <c r="C125" s="8">
        <v>1.5</v>
      </c>
      <c r="D125" s="8" t="str">
        <f t="shared" si="1"/>
        <v>12,1980-1985,1,5</v>
      </c>
      <c r="E125" s="9">
        <v>0.1</v>
      </c>
      <c r="F125" s="9">
        <v>101</v>
      </c>
      <c r="G125" s="9">
        <v>0.1</v>
      </c>
      <c r="H125" s="9">
        <v>3</v>
      </c>
      <c r="I125" s="9">
        <v>3.3</v>
      </c>
      <c r="J125" s="9">
        <v>-17.3</v>
      </c>
      <c r="K125" s="9">
        <v>5.1999999999999998E-2</v>
      </c>
      <c r="L125" s="9">
        <v>7.11</v>
      </c>
      <c r="M125" s="9">
        <v>-31.1</v>
      </c>
      <c r="N125" s="9">
        <v>4.04</v>
      </c>
      <c r="O125" s="9">
        <v>0.24</v>
      </c>
      <c r="P125" s="9">
        <v>-11</v>
      </c>
      <c r="Q125" s="9">
        <v>0.22655</v>
      </c>
      <c r="R125" s="9">
        <v>3.2486999999999999</v>
      </c>
      <c r="S125" s="9">
        <v>-35.299999999999997</v>
      </c>
      <c r="T125" s="9">
        <v>2.2677200000000002</v>
      </c>
      <c r="U125" s="9">
        <v>3.9800000000000002E-2</v>
      </c>
      <c r="V125" s="9">
        <v>4.0999999999999996</v>
      </c>
      <c r="W125" s="9">
        <v>0.23</v>
      </c>
    </row>
    <row r="126" spans="1:23" x14ac:dyDescent="0.3">
      <c r="A126" s="4">
        <v>12</v>
      </c>
      <c r="B126" s="5" t="s">
        <v>124</v>
      </c>
      <c r="C126" s="5">
        <v>1.5</v>
      </c>
      <c r="D126" s="5" t="str">
        <f t="shared" si="1"/>
        <v>12,1985-1990,1,5</v>
      </c>
      <c r="E126" s="6">
        <v>0.1</v>
      </c>
      <c r="F126" s="6">
        <v>101</v>
      </c>
      <c r="G126" s="6">
        <v>0.1</v>
      </c>
      <c r="H126" s="6">
        <v>3</v>
      </c>
      <c r="I126" s="6">
        <v>3.3</v>
      </c>
      <c r="J126" s="6">
        <v>-17.3</v>
      </c>
      <c r="K126" s="6">
        <v>5.1999999999999998E-2</v>
      </c>
      <c r="L126" s="6">
        <v>6.59</v>
      </c>
      <c r="M126" s="6">
        <v>-24.7</v>
      </c>
      <c r="N126" s="6">
        <v>4.05</v>
      </c>
      <c r="O126" s="6">
        <v>0.24</v>
      </c>
      <c r="P126" s="6">
        <v>-11</v>
      </c>
      <c r="Q126" s="6">
        <v>0.22655</v>
      </c>
      <c r="R126" s="6">
        <v>2.8919800000000002</v>
      </c>
      <c r="S126" s="6">
        <v>-14.2</v>
      </c>
      <c r="T126" s="6">
        <v>2.1785399999999999</v>
      </c>
      <c r="U126" s="6">
        <v>5.16E-2</v>
      </c>
      <c r="V126" s="6">
        <v>3.2</v>
      </c>
      <c r="W126" s="6">
        <v>0.23</v>
      </c>
    </row>
    <row r="127" spans="1:23" x14ac:dyDescent="0.3">
      <c r="A127" s="7">
        <v>12</v>
      </c>
      <c r="B127" s="8" t="s">
        <v>125</v>
      </c>
      <c r="C127" s="8">
        <v>1.5</v>
      </c>
      <c r="D127" s="8" t="str">
        <f t="shared" si="1"/>
        <v>12,1990-1995,1,5</v>
      </c>
      <c r="E127" s="9">
        <v>0.1</v>
      </c>
      <c r="F127" s="9">
        <v>101</v>
      </c>
      <c r="G127" s="9">
        <v>0.1</v>
      </c>
      <c r="H127" s="9">
        <v>3</v>
      </c>
      <c r="I127" s="9">
        <v>3.3</v>
      </c>
      <c r="J127" s="9">
        <v>-17.3</v>
      </c>
      <c r="K127" s="9">
        <v>5.1999999999999998E-2</v>
      </c>
      <c r="L127" s="9">
        <v>6.69</v>
      </c>
      <c r="M127" s="9">
        <v>-25.3</v>
      </c>
      <c r="N127" s="9">
        <v>4.04</v>
      </c>
      <c r="O127" s="9">
        <v>0.24</v>
      </c>
      <c r="P127" s="9">
        <v>-11</v>
      </c>
      <c r="Q127" s="9">
        <v>0.22655</v>
      </c>
      <c r="R127" s="9">
        <v>2.9302000000000001</v>
      </c>
      <c r="S127" s="9">
        <v>-15.8</v>
      </c>
      <c r="T127" s="9">
        <v>2.2040199999999999</v>
      </c>
      <c r="U127" s="9">
        <v>5.2600000000000001E-2</v>
      </c>
      <c r="V127" s="9">
        <v>3.6</v>
      </c>
      <c r="W127" s="9">
        <v>0.23</v>
      </c>
    </row>
    <row r="128" spans="1:23" x14ac:dyDescent="0.3">
      <c r="A128" s="4">
        <v>12</v>
      </c>
      <c r="B128" s="5" t="s">
        <v>126</v>
      </c>
      <c r="C128" s="5">
        <v>1.5</v>
      </c>
      <c r="D128" s="5" t="str">
        <f t="shared" si="1"/>
        <v>12,1995-2000,1,5</v>
      </c>
      <c r="E128" s="6">
        <v>0.1</v>
      </c>
      <c r="F128" s="6">
        <v>101</v>
      </c>
      <c r="G128" s="6">
        <v>0.1</v>
      </c>
      <c r="H128" s="6">
        <v>3</v>
      </c>
      <c r="I128" s="6">
        <v>3.3</v>
      </c>
      <c r="J128" s="6">
        <v>-17.3</v>
      </c>
      <c r="K128" s="6">
        <v>5.1999999999999998E-2</v>
      </c>
      <c r="L128" s="6">
        <v>6.25</v>
      </c>
      <c r="M128" s="6">
        <v>-21.4</v>
      </c>
      <c r="N128" s="6">
        <v>4.04</v>
      </c>
      <c r="O128" s="6">
        <v>0.24</v>
      </c>
      <c r="P128" s="6">
        <v>-11</v>
      </c>
      <c r="Q128" s="6">
        <v>0.22655</v>
      </c>
      <c r="R128" s="6">
        <v>3.01938</v>
      </c>
      <c r="S128" s="6">
        <v>-19.3</v>
      </c>
      <c r="T128" s="6">
        <v>2.1912799999999999</v>
      </c>
      <c r="U128" s="6">
        <v>4.2500000000000003E-2</v>
      </c>
      <c r="V128" s="6">
        <v>3.8</v>
      </c>
      <c r="W128" s="6">
        <v>0.23</v>
      </c>
    </row>
    <row r="129" spans="1:23" x14ac:dyDescent="0.3">
      <c r="A129" s="7">
        <v>12</v>
      </c>
      <c r="B129" s="8" t="s">
        <v>127</v>
      </c>
      <c r="C129" s="8">
        <v>1.5</v>
      </c>
      <c r="D129" s="8" t="str">
        <f t="shared" si="1"/>
        <v>12,2000-2005,1,5</v>
      </c>
      <c r="E129" s="9">
        <v>0.1</v>
      </c>
      <c r="F129" s="9">
        <v>101</v>
      </c>
      <c r="G129" s="9">
        <v>0.1</v>
      </c>
      <c r="H129" s="9">
        <v>3</v>
      </c>
      <c r="I129" s="9">
        <v>3.3</v>
      </c>
      <c r="J129" s="9">
        <v>-17.3</v>
      </c>
      <c r="K129" s="9">
        <v>5.1999999999999998E-2</v>
      </c>
      <c r="L129" s="9">
        <v>6.21</v>
      </c>
      <c r="M129" s="9">
        <v>-20.9</v>
      </c>
      <c r="N129" s="9">
        <v>4.0199999999999996</v>
      </c>
      <c r="O129" s="9">
        <v>0.24</v>
      </c>
      <c r="P129" s="9">
        <v>-11</v>
      </c>
      <c r="Q129" s="9">
        <v>0.22655</v>
      </c>
      <c r="R129" s="9">
        <v>3.0830799999999998</v>
      </c>
      <c r="S129" s="9">
        <v>-22.5</v>
      </c>
      <c r="T129" s="9">
        <v>2.2167599999999998</v>
      </c>
      <c r="U129" s="9">
        <v>4.3999999999999997E-2</v>
      </c>
      <c r="V129" s="9">
        <v>2.9</v>
      </c>
      <c r="W129" s="9">
        <v>0.23</v>
      </c>
    </row>
    <row r="130" spans="1:23" x14ac:dyDescent="0.3">
      <c r="A130" s="4">
        <v>12</v>
      </c>
      <c r="B130" s="5" t="s">
        <v>128</v>
      </c>
      <c r="C130" s="5">
        <v>1.5</v>
      </c>
      <c r="D130" s="5" t="str">
        <f t="shared" si="1"/>
        <v>12,2005-2010,1,5</v>
      </c>
      <c r="E130" s="6">
        <v>0.1</v>
      </c>
      <c r="F130" s="6">
        <v>101</v>
      </c>
      <c r="G130" s="6">
        <v>0.1</v>
      </c>
      <c r="H130" s="6">
        <v>3</v>
      </c>
      <c r="I130" s="6">
        <v>3.3</v>
      </c>
      <c r="J130" s="6">
        <v>-17.3</v>
      </c>
      <c r="K130" s="6">
        <v>5.1999999999999998E-2</v>
      </c>
      <c r="L130" s="6">
        <v>6.32</v>
      </c>
      <c r="M130" s="6">
        <v>-22</v>
      </c>
      <c r="N130" s="6">
        <v>4.0199999999999996</v>
      </c>
      <c r="O130" s="6">
        <v>0.24</v>
      </c>
      <c r="P130" s="6">
        <v>-11</v>
      </c>
      <c r="Q130" s="6">
        <v>0.22655</v>
      </c>
      <c r="R130" s="6">
        <v>1.0981879999999999</v>
      </c>
      <c r="S130" s="6">
        <v>258</v>
      </c>
      <c r="T130" s="6">
        <v>2.3186800000000001</v>
      </c>
      <c r="U130" s="6">
        <v>3.2800000000000003E-2</v>
      </c>
      <c r="V130" s="6">
        <v>4.7</v>
      </c>
      <c r="W130" s="6">
        <v>0.23</v>
      </c>
    </row>
    <row r="131" spans="1:23" x14ac:dyDescent="0.3">
      <c r="A131" s="7">
        <v>12</v>
      </c>
      <c r="B131" s="8" t="s">
        <v>129</v>
      </c>
      <c r="C131" s="8">
        <v>1.5</v>
      </c>
      <c r="D131" s="8" t="str">
        <f t="shared" ref="D131:D194" si="2">CONCATENATE(A131,",",B131,",",C131)</f>
        <v>12,2010-2015,1,5</v>
      </c>
      <c r="E131" s="9">
        <v>0.1</v>
      </c>
      <c r="F131" s="9">
        <v>101</v>
      </c>
      <c r="G131" s="9">
        <v>0.1</v>
      </c>
      <c r="H131" s="9">
        <v>3</v>
      </c>
      <c r="I131" s="9">
        <v>3.3</v>
      </c>
      <c r="J131" s="9">
        <v>-17.3</v>
      </c>
      <c r="K131" s="9">
        <v>5.1999999999999998E-2</v>
      </c>
      <c r="L131" s="9">
        <v>6.52</v>
      </c>
      <c r="M131" s="9">
        <v>-24.3</v>
      </c>
      <c r="N131" s="9">
        <v>4.01</v>
      </c>
      <c r="O131" s="9">
        <v>0.24</v>
      </c>
      <c r="P131" s="9">
        <v>-11</v>
      </c>
      <c r="Q131" s="9">
        <v>0.22655</v>
      </c>
      <c r="R131" s="9">
        <v>3.1595200000000001</v>
      </c>
      <c r="S131" s="9">
        <v>-15.4</v>
      </c>
      <c r="T131" s="9">
        <v>2.3569</v>
      </c>
      <c r="U131" s="9">
        <v>4.1300000000000003E-2</v>
      </c>
      <c r="V131" s="9">
        <v>3</v>
      </c>
      <c r="W131" s="9">
        <v>0.23</v>
      </c>
    </row>
    <row r="132" spans="1:23" x14ac:dyDescent="0.3">
      <c r="A132" s="4">
        <v>12</v>
      </c>
      <c r="B132" s="5" t="s">
        <v>130</v>
      </c>
      <c r="C132" s="5">
        <v>1.5</v>
      </c>
      <c r="D132" s="5" t="str">
        <f t="shared" si="2"/>
        <v>12,2015-2020,1,5</v>
      </c>
      <c r="E132" s="6">
        <v>0.1</v>
      </c>
      <c r="F132" s="6">
        <v>101</v>
      </c>
      <c r="G132" s="6">
        <v>0.1</v>
      </c>
      <c r="H132" s="6">
        <v>3</v>
      </c>
      <c r="I132" s="6">
        <v>3.3</v>
      </c>
      <c r="J132" s="6">
        <v>-17.3</v>
      </c>
      <c r="K132" s="6">
        <v>5.1999999999999998E-2</v>
      </c>
      <c r="L132" s="6">
        <v>5.84</v>
      </c>
      <c r="M132" s="6">
        <v>-16.2</v>
      </c>
      <c r="N132" s="6">
        <v>4</v>
      </c>
      <c r="O132" s="6">
        <v>0.24</v>
      </c>
      <c r="P132" s="6">
        <v>-11</v>
      </c>
      <c r="Q132" s="6">
        <v>0.22655</v>
      </c>
      <c r="R132" s="6">
        <v>3.0958199999999998</v>
      </c>
      <c r="S132" s="6">
        <v>4.24</v>
      </c>
      <c r="T132" s="6">
        <v>2.4588199999999998</v>
      </c>
      <c r="U132" s="6">
        <v>3.3599999999999998E-2</v>
      </c>
      <c r="V132" s="6">
        <v>2.8</v>
      </c>
      <c r="W132" s="6">
        <v>0.23</v>
      </c>
    </row>
    <row r="133" spans="1:23" x14ac:dyDescent="0.3">
      <c r="A133" s="7">
        <v>12</v>
      </c>
      <c r="B133" s="8" t="s">
        <v>131</v>
      </c>
      <c r="C133" s="8">
        <v>1.5</v>
      </c>
      <c r="D133" s="8" t="str">
        <f t="shared" si="2"/>
        <v>12,2020-,1,5</v>
      </c>
      <c r="E133" s="9">
        <v>0.1</v>
      </c>
      <c r="F133" s="9">
        <v>101</v>
      </c>
      <c r="G133" s="9">
        <v>0.1</v>
      </c>
      <c r="H133" s="9">
        <v>3</v>
      </c>
      <c r="I133" s="9">
        <v>3.3</v>
      </c>
      <c r="J133" s="9">
        <v>-17.3</v>
      </c>
      <c r="K133" s="9">
        <v>5.1999999999999998E-2</v>
      </c>
      <c r="L133" s="9">
        <v>6.71</v>
      </c>
      <c r="M133" s="9">
        <v>-24.8</v>
      </c>
      <c r="N133" s="9">
        <v>3.98</v>
      </c>
      <c r="O133" s="9">
        <v>0.24</v>
      </c>
      <c r="P133" s="9">
        <v>-11</v>
      </c>
      <c r="Q133" s="9">
        <v>0.22655</v>
      </c>
      <c r="R133" s="9">
        <v>3.5544600000000002</v>
      </c>
      <c r="S133" s="9">
        <v>-17.399999999999999</v>
      </c>
      <c r="T133" s="9">
        <v>2.7136200000000001</v>
      </c>
      <c r="U133" s="9">
        <v>2.6599999999999999E-2</v>
      </c>
      <c r="V133" s="9">
        <v>4.3</v>
      </c>
      <c r="W133" s="9">
        <v>0.23</v>
      </c>
    </row>
    <row r="134" spans="1:23" x14ac:dyDescent="0.3">
      <c r="A134" s="4">
        <v>12</v>
      </c>
      <c r="B134" s="5">
        <v>-1920</v>
      </c>
      <c r="C134" s="5">
        <v>2</v>
      </c>
      <c r="D134" s="5" t="str">
        <f t="shared" si="2"/>
        <v>12,-1920,2</v>
      </c>
      <c r="E134" s="6">
        <v>0.44700000000000001</v>
      </c>
      <c r="F134" s="6">
        <v>41</v>
      </c>
      <c r="G134" s="6">
        <v>0.48699999999999999</v>
      </c>
      <c r="H134" s="6">
        <v>2.6</v>
      </c>
      <c r="I134" s="6">
        <v>3.3</v>
      </c>
      <c r="J134" s="6">
        <v>-29.2</v>
      </c>
      <c r="K134" s="6">
        <v>5.1999999999999998E-2</v>
      </c>
      <c r="L134" s="6">
        <v>5.23</v>
      </c>
      <c r="M134" s="6">
        <v>-8.44</v>
      </c>
      <c r="N134" s="6">
        <v>4.03</v>
      </c>
      <c r="O134" s="6">
        <v>0.3836</v>
      </c>
      <c r="P134" s="6">
        <v>-10.9</v>
      </c>
      <c r="Q134" s="6">
        <v>0.247</v>
      </c>
      <c r="R134" s="6">
        <v>3.2754599999999998</v>
      </c>
      <c r="S134" s="6">
        <v>-44.8</v>
      </c>
      <c r="T134" s="6">
        <v>1.65</v>
      </c>
      <c r="U134" s="6">
        <v>3.6799999999999999E-2</v>
      </c>
      <c r="V134" s="6">
        <v>5.0999999999999996</v>
      </c>
      <c r="W134" s="6">
        <v>0.219</v>
      </c>
    </row>
    <row r="135" spans="1:23" x14ac:dyDescent="0.3">
      <c r="A135" s="7">
        <v>12</v>
      </c>
      <c r="B135" s="8" t="s">
        <v>111</v>
      </c>
      <c r="C135" s="8">
        <v>2</v>
      </c>
      <c r="D135" s="8" t="str">
        <f t="shared" si="2"/>
        <v>12,1920-1925,2</v>
      </c>
      <c r="E135" s="9">
        <v>0.315</v>
      </c>
      <c r="F135" s="9">
        <v>59.4</v>
      </c>
      <c r="G135" s="9">
        <v>0.5</v>
      </c>
      <c r="H135" s="9">
        <v>2.7</v>
      </c>
      <c r="I135" s="9">
        <v>3.1</v>
      </c>
      <c r="J135" s="9">
        <v>-12</v>
      </c>
      <c r="K135" s="9">
        <v>5.1999999999999998E-2</v>
      </c>
      <c r="L135" s="9">
        <v>4.9800000000000004</v>
      </c>
      <c r="M135" s="9">
        <v>-5.89</v>
      </c>
      <c r="N135" s="9">
        <v>4.03</v>
      </c>
      <c r="O135" s="9">
        <v>0.38179999999999997</v>
      </c>
      <c r="P135" s="9">
        <v>-12</v>
      </c>
      <c r="Q135" s="9">
        <v>0.22500000000000001</v>
      </c>
      <c r="R135" s="9">
        <v>2.9584800000000002</v>
      </c>
      <c r="S135" s="9">
        <v>-27</v>
      </c>
      <c r="T135" s="9">
        <v>1.65</v>
      </c>
      <c r="U135" s="9">
        <v>2.3599999999999999E-2</v>
      </c>
      <c r="V135" s="9">
        <v>6.4</v>
      </c>
      <c r="W135" s="9">
        <v>0.219</v>
      </c>
    </row>
    <row r="136" spans="1:23" x14ac:dyDescent="0.3">
      <c r="A136" s="4">
        <v>12</v>
      </c>
      <c r="B136" s="5" t="s">
        <v>112</v>
      </c>
      <c r="C136" s="5">
        <v>2</v>
      </c>
      <c r="D136" s="5" t="str">
        <f t="shared" si="2"/>
        <v>12,1925-1930,2</v>
      </c>
      <c r="E136" s="6">
        <v>0.28399999999999997</v>
      </c>
      <c r="F136" s="6">
        <v>52.4</v>
      </c>
      <c r="G136" s="6">
        <v>0.46200000000000002</v>
      </c>
      <c r="H136" s="6">
        <v>2.7</v>
      </c>
      <c r="I136" s="6">
        <v>2.8</v>
      </c>
      <c r="J136" s="6">
        <v>66.5</v>
      </c>
      <c r="K136" s="6">
        <v>5.1999999999999998E-2</v>
      </c>
      <c r="L136" s="6">
        <v>4.97</v>
      </c>
      <c r="M136" s="6">
        <v>-5.75</v>
      </c>
      <c r="N136" s="6">
        <v>4.01</v>
      </c>
      <c r="O136" s="6">
        <v>0.40689999999999998</v>
      </c>
      <c r="P136" s="6">
        <v>-12.8</v>
      </c>
      <c r="Q136" s="6">
        <v>0.221</v>
      </c>
      <c r="R136" s="6">
        <v>2.73542</v>
      </c>
      <c r="S136" s="6">
        <v>-11.2</v>
      </c>
      <c r="T136" s="6">
        <v>1.66</v>
      </c>
      <c r="U136" s="6">
        <v>1.8499999999999999E-2</v>
      </c>
      <c r="V136" s="6">
        <v>7</v>
      </c>
      <c r="W136" s="6">
        <v>0.219</v>
      </c>
    </row>
    <row r="137" spans="1:23" x14ac:dyDescent="0.3">
      <c r="A137" s="7">
        <v>12</v>
      </c>
      <c r="B137" s="8" t="s">
        <v>113</v>
      </c>
      <c r="C137" s="8">
        <v>2</v>
      </c>
      <c r="D137" s="8" t="str">
        <f t="shared" si="2"/>
        <v>12,1930-1935,2</v>
      </c>
      <c r="E137" s="9">
        <v>0.30299999999999999</v>
      </c>
      <c r="F137" s="9">
        <v>49.3</v>
      </c>
      <c r="G137" s="9">
        <v>0.46899999999999997</v>
      </c>
      <c r="H137" s="9">
        <v>2.9</v>
      </c>
      <c r="I137" s="9">
        <v>3.4</v>
      </c>
      <c r="J137" s="9">
        <v>-41.5</v>
      </c>
      <c r="K137" s="9">
        <v>5.1999999999999998E-2</v>
      </c>
      <c r="L137" s="9">
        <v>4.68</v>
      </c>
      <c r="M137" s="9">
        <v>-2.91</v>
      </c>
      <c r="N137" s="9">
        <v>4.09</v>
      </c>
      <c r="O137" s="9">
        <v>0.4289</v>
      </c>
      <c r="P137" s="9">
        <v>-17.600000000000001</v>
      </c>
      <c r="Q137" s="9">
        <v>0.214</v>
      </c>
      <c r="R137" s="9">
        <v>3.4985200000000001</v>
      </c>
      <c r="S137" s="9">
        <v>-68.3</v>
      </c>
      <c r="T137" s="9">
        <v>1.68</v>
      </c>
      <c r="U137" s="9">
        <v>1.6400000000000001E-2</v>
      </c>
      <c r="V137" s="9">
        <v>7.4</v>
      </c>
      <c r="W137" s="9">
        <v>0.219</v>
      </c>
    </row>
    <row r="138" spans="1:23" x14ac:dyDescent="0.3">
      <c r="A138" s="4">
        <v>12</v>
      </c>
      <c r="B138" s="5" t="s">
        <v>114</v>
      </c>
      <c r="C138" s="5">
        <v>2</v>
      </c>
      <c r="D138" s="5" t="str">
        <f t="shared" si="2"/>
        <v>12,1935-1940,2</v>
      </c>
      <c r="E138" s="6">
        <v>0.317</v>
      </c>
      <c r="F138" s="6">
        <v>45.9</v>
      </c>
      <c r="G138" s="6">
        <v>0.47599999999999998</v>
      </c>
      <c r="H138" s="6">
        <v>2.8</v>
      </c>
      <c r="I138" s="6">
        <v>3.4</v>
      </c>
      <c r="J138" s="6">
        <v>-37.200000000000003</v>
      </c>
      <c r="K138" s="6">
        <v>5.1999999999999998E-2</v>
      </c>
      <c r="L138" s="6">
        <v>5.19</v>
      </c>
      <c r="M138" s="6">
        <v>-8.65</v>
      </c>
      <c r="N138" s="6">
        <v>4</v>
      </c>
      <c r="O138" s="6">
        <v>0.37190000000000001</v>
      </c>
      <c r="P138" s="6">
        <v>-6.8</v>
      </c>
      <c r="Q138" s="6">
        <v>0.2</v>
      </c>
      <c r="R138" s="6">
        <v>3.1932800000000001</v>
      </c>
      <c r="S138" s="6">
        <v>-44.6</v>
      </c>
      <c r="T138" s="6">
        <v>1.67</v>
      </c>
      <c r="U138" s="6">
        <v>4.1300000000000003E-2</v>
      </c>
      <c r="V138" s="6">
        <v>3.7</v>
      </c>
      <c r="W138" s="6">
        <v>0.219</v>
      </c>
    </row>
    <row r="139" spans="1:23" x14ac:dyDescent="0.3">
      <c r="A139" s="7">
        <v>12</v>
      </c>
      <c r="B139" s="8" t="s">
        <v>115</v>
      </c>
      <c r="C139" s="8">
        <v>2</v>
      </c>
      <c r="D139" s="8" t="str">
        <f t="shared" si="2"/>
        <v>12,1940-1945,2</v>
      </c>
      <c r="E139" s="9">
        <v>0.249</v>
      </c>
      <c r="F139" s="9">
        <v>57.4</v>
      </c>
      <c r="G139" s="9">
        <v>0.46100000000000002</v>
      </c>
      <c r="H139" s="9">
        <v>2.8</v>
      </c>
      <c r="I139" s="9">
        <v>2.7</v>
      </c>
      <c r="J139" s="9">
        <v>64.599999999999994</v>
      </c>
      <c r="K139" s="9">
        <v>5.1999999999999998E-2</v>
      </c>
      <c r="L139" s="9">
        <v>4.99</v>
      </c>
      <c r="M139" s="9">
        <v>-7.13</v>
      </c>
      <c r="N139" s="9">
        <v>3.99</v>
      </c>
      <c r="O139" s="9">
        <v>0.3795</v>
      </c>
      <c r="P139" s="9">
        <v>-9.4</v>
      </c>
      <c r="Q139" s="9">
        <v>0.24</v>
      </c>
      <c r="R139" s="9">
        <v>2.9467400000000001</v>
      </c>
      <c r="S139" s="9">
        <v>-21.9</v>
      </c>
      <c r="T139" s="9">
        <v>1.66</v>
      </c>
      <c r="U139" s="9">
        <v>1.03E-2</v>
      </c>
      <c r="V139" s="9">
        <v>6.1</v>
      </c>
      <c r="W139" s="9">
        <v>0.219</v>
      </c>
    </row>
    <row r="140" spans="1:23" x14ac:dyDescent="0.3">
      <c r="A140" s="4">
        <v>12</v>
      </c>
      <c r="B140" s="5" t="s">
        <v>116</v>
      </c>
      <c r="C140" s="5">
        <v>2</v>
      </c>
      <c r="D140" s="5" t="str">
        <f t="shared" si="2"/>
        <v>12,1945-1950,2</v>
      </c>
      <c r="E140" s="6">
        <v>0.42</v>
      </c>
      <c r="F140" s="6">
        <v>28.6</v>
      </c>
      <c r="G140" s="6">
        <v>0.47599999999999998</v>
      </c>
      <c r="H140" s="6">
        <v>2.8</v>
      </c>
      <c r="I140" s="6">
        <v>3</v>
      </c>
      <c r="J140" s="6">
        <v>12.3</v>
      </c>
      <c r="K140" s="6">
        <v>5.1999999999999998E-2</v>
      </c>
      <c r="L140" s="6">
        <v>6.1</v>
      </c>
      <c r="M140" s="6">
        <v>-16.7</v>
      </c>
      <c r="N140" s="6">
        <v>4</v>
      </c>
      <c r="O140" s="6">
        <v>0.35549999999999998</v>
      </c>
      <c r="P140" s="6">
        <v>-7.3</v>
      </c>
      <c r="Q140" s="6">
        <v>0.23300000000000001</v>
      </c>
      <c r="R140" s="6">
        <v>2.6532399999999998</v>
      </c>
      <c r="S140" s="6">
        <v>-8.9600000000000009</v>
      </c>
      <c r="T140" s="6">
        <v>1.64</v>
      </c>
      <c r="U140" s="6">
        <v>3.1699999999999999E-2</v>
      </c>
      <c r="V140" s="6">
        <v>4.5</v>
      </c>
      <c r="W140" s="6">
        <v>0.219</v>
      </c>
    </row>
    <row r="141" spans="1:23" x14ac:dyDescent="0.3">
      <c r="A141" s="7">
        <v>12</v>
      </c>
      <c r="B141" s="8" t="s">
        <v>117</v>
      </c>
      <c r="C141" s="8">
        <v>2</v>
      </c>
      <c r="D141" s="8" t="str">
        <f t="shared" si="2"/>
        <v>12,1950-1955,2</v>
      </c>
      <c r="E141" s="9">
        <v>0.32400000000000001</v>
      </c>
      <c r="F141" s="9">
        <v>47.8</v>
      </c>
      <c r="G141" s="9">
        <v>0.48</v>
      </c>
      <c r="H141" s="9">
        <v>2.8</v>
      </c>
      <c r="I141" s="9">
        <v>3.4</v>
      </c>
      <c r="J141" s="9">
        <v>-37.700000000000003</v>
      </c>
      <c r="K141" s="9">
        <v>5.1999999999999998E-2</v>
      </c>
      <c r="L141" s="9">
        <v>6.47</v>
      </c>
      <c r="M141" s="9">
        <v>-20.5</v>
      </c>
      <c r="N141" s="9">
        <v>4.05</v>
      </c>
      <c r="O141" s="9">
        <v>0.37409999999999999</v>
      </c>
      <c r="P141" s="9">
        <v>-9.4</v>
      </c>
      <c r="Q141" s="9">
        <v>0.22700000000000001</v>
      </c>
      <c r="R141" s="9">
        <v>2.73542</v>
      </c>
      <c r="S141" s="9">
        <v>-13.9</v>
      </c>
      <c r="T141" s="9">
        <v>1.65</v>
      </c>
      <c r="U141" s="9">
        <v>3.3500000000000002E-2</v>
      </c>
      <c r="V141" s="9">
        <v>4.8</v>
      </c>
      <c r="W141" s="9">
        <v>0.219</v>
      </c>
    </row>
    <row r="142" spans="1:23" x14ac:dyDescent="0.3">
      <c r="A142" s="4">
        <v>12</v>
      </c>
      <c r="B142" s="5" t="s">
        <v>118</v>
      </c>
      <c r="C142" s="5">
        <v>2</v>
      </c>
      <c r="D142" s="5" t="str">
        <f t="shared" si="2"/>
        <v>12,1955-1960,2</v>
      </c>
      <c r="E142" s="6">
        <v>0.34300000000000003</v>
      </c>
      <c r="F142" s="6">
        <v>44.9</v>
      </c>
      <c r="G142" s="6">
        <v>0.49399999999999999</v>
      </c>
      <c r="H142" s="6">
        <v>2.8</v>
      </c>
      <c r="I142" s="6">
        <v>3.1</v>
      </c>
      <c r="J142" s="6">
        <v>11.6</v>
      </c>
      <c r="K142" s="6">
        <v>5.1999999999999998E-2</v>
      </c>
      <c r="L142" s="6">
        <v>6.84</v>
      </c>
      <c r="M142" s="6">
        <v>-25.1</v>
      </c>
      <c r="N142" s="6">
        <v>4.01</v>
      </c>
      <c r="O142" s="6">
        <v>0.39979999999999999</v>
      </c>
      <c r="P142" s="6">
        <v>-12.6</v>
      </c>
      <c r="Q142" s="6">
        <v>0.222</v>
      </c>
      <c r="R142" s="6">
        <v>2.6415000000000002</v>
      </c>
      <c r="S142" s="6">
        <v>-6</v>
      </c>
      <c r="T142" s="6">
        <v>1.65</v>
      </c>
      <c r="U142" s="6">
        <v>4.0599999999999997E-2</v>
      </c>
      <c r="V142" s="6">
        <v>3.6</v>
      </c>
      <c r="W142" s="6">
        <v>0.219</v>
      </c>
    </row>
    <row r="143" spans="1:23" x14ac:dyDescent="0.3">
      <c r="A143" s="7">
        <v>12</v>
      </c>
      <c r="B143" s="8" t="s">
        <v>119</v>
      </c>
      <c r="C143" s="8">
        <v>2</v>
      </c>
      <c r="D143" s="8" t="str">
        <f t="shared" si="2"/>
        <v>12,1960-1965,2</v>
      </c>
      <c r="E143" s="9">
        <v>0.373</v>
      </c>
      <c r="F143" s="9">
        <v>42.6</v>
      </c>
      <c r="G143" s="9">
        <v>0.496</v>
      </c>
      <c r="H143" s="9">
        <v>2.6</v>
      </c>
      <c r="I143" s="9">
        <v>3.1</v>
      </c>
      <c r="J143" s="9">
        <v>16.600000000000001</v>
      </c>
      <c r="K143" s="9">
        <v>5.1999999999999998E-2</v>
      </c>
      <c r="L143" s="9">
        <v>7.22</v>
      </c>
      <c r="M143" s="9">
        <v>-30.4</v>
      </c>
      <c r="N143" s="9">
        <v>4</v>
      </c>
      <c r="O143" s="9">
        <v>0.38969999999999999</v>
      </c>
      <c r="P143" s="9">
        <v>-9.5</v>
      </c>
      <c r="Q143" s="9">
        <v>0.246</v>
      </c>
      <c r="R143" s="9">
        <v>2.61802</v>
      </c>
      <c r="S143" s="9">
        <v>-1.1299999999999999</v>
      </c>
      <c r="T143" s="9">
        <v>1.67</v>
      </c>
      <c r="U143" s="9">
        <v>3.6600000000000001E-2</v>
      </c>
      <c r="V143" s="9">
        <v>3.1</v>
      </c>
      <c r="W143" s="9">
        <v>0.219</v>
      </c>
    </row>
    <row r="144" spans="1:23" x14ac:dyDescent="0.3">
      <c r="A144" s="4">
        <v>12</v>
      </c>
      <c r="B144" s="5" t="s">
        <v>120</v>
      </c>
      <c r="C144" s="5">
        <v>2</v>
      </c>
      <c r="D144" s="5" t="str">
        <f t="shared" si="2"/>
        <v>12,1965-1970,2</v>
      </c>
      <c r="E144" s="6">
        <v>0.42199999999999999</v>
      </c>
      <c r="F144" s="6">
        <v>50.2</v>
      </c>
      <c r="G144" s="6">
        <v>0.48</v>
      </c>
      <c r="H144" s="6">
        <v>2.6</v>
      </c>
      <c r="I144" s="6">
        <v>3.1</v>
      </c>
      <c r="J144" s="6">
        <v>-1.3</v>
      </c>
      <c r="K144" s="6">
        <v>5.1999999999999998E-2</v>
      </c>
      <c r="L144" s="6">
        <v>7.62</v>
      </c>
      <c r="M144" s="6">
        <v>-36.9</v>
      </c>
      <c r="N144" s="6">
        <v>4.0199999999999996</v>
      </c>
      <c r="O144" s="6">
        <v>0.41310000000000002</v>
      </c>
      <c r="P144" s="6">
        <v>-14.6</v>
      </c>
      <c r="Q144" s="6">
        <v>0.26</v>
      </c>
      <c r="R144" s="6">
        <v>2.5123600000000001</v>
      </c>
      <c r="S144" s="6">
        <v>6.78</v>
      </c>
      <c r="T144" s="6">
        <v>1.69</v>
      </c>
      <c r="U144" s="6">
        <v>3.9600000000000003E-2</v>
      </c>
      <c r="V144" s="6">
        <v>2.2999999999999998</v>
      </c>
      <c r="W144" s="6">
        <v>0.219</v>
      </c>
    </row>
    <row r="145" spans="1:23" x14ac:dyDescent="0.3">
      <c r="A145" s="7">
        <v>12</v>
      </c>
      <c r="B145" s="8" t="s">
        <v>121</v>
      </c>
      <c r="C145" s="8">
        <v>2</v>
      </c>
      <c r="D145" s="8" t="str">
        <f t="shared" si="2"/>
        <v>12,1970-1975,2</v>
      </c>
      <c r="E145" s="9">
        <v>0.36699999999999999</v>
      </c>
      <c r="F145" s="9">
        <v>97.5</v>
      </c>
      <c r="G145" s="9">
        <v>0.48199999999999998</v>
      </c>
      <c r="H145" s="9">
        <v>2.6</v>
      </c>
      <c r="I145" s="9">
        <v>3</v>
      </c>
      <c r="J145" s="9">
        <v>9.8000000000000007</v>
      </c>
      <c r="K145" s="9">
        <v>5.1999999999999998E-2</v>
      </c>
      <c r="L145" s="9">
        <v>8.7799999999999994</v>
      </c>
      <c r="M145" s="9">
        <v>-56.3</v>
      </c>
      <c r="N145" s="9">
        <v>4.1100000000000003</v>
      </c>
      <c r="O145" s="9">
        <v>0.40679999999999999</v>
      </c>
      <c r="P145" s="9">
        <v>-16.899999999999999</v>
      </c>
      <c r="Q145" s="9">
        <v>0.24199999999999999</v>
      </c>
      <c r="R145" s="9">
        <v>2.7119399999999998</v>
      </c>
      <c r="S145" s="9">
        <v>-13.3</v>
      </c>
      <c r="T145" s="9">
        <v>1.71</v>
      </c>
      <c r="U145" s="9">
        <v>4.4900000000000002E-2</v>
      </c>
      <c r="V145" s="9">
        <v>1.1000000000000001</v>
      </c>
      <c r="W145" s="9">
        <v>0.219</v>
      </c>
    </row>
    <row r="146" spans="1:23" x14ac:dyDescent="0.3">
      <c r="A146" s="4">
        <v>12</v>
      </c>
      <c r="B146" s="5" t="s">
        <v>122</v>
      </c>
      <c r="C146" s="5">
        <v>2</v>
      </c>
      <c r="D146" s="5" t="str">
        <f t="shared" si="2"/>
        <v>12,1975-1980,2</v>
      </c>
      <c r="E146" s="6">
        <v>0.51800000000000002</v>
      </c>
      <c r="F146" s="6">
        <v>25.6</v>
      </c>
      <c r="G146" s="6">
        <v>0.46600000000000003</v>
      </c>
      <c r="H146" s="6">
        <v>2.6</v>
      </c>
      <c r="I146" s="6">
        <v>3</v>
      </c>
      <c r="J146" s="6">
        <v>-4.5999999999999996</v>
      </c>
      <c r="K146" s="6">
        <v>5.1999999999999998E-2</v>
      </c>
      <c r="L146" s="6">
        <v>7.59</v>
      </c>
      <c r="M146" s="6">
        <v>-37.299999999999997</v>
      </c>
      <c r="N146" s="6">
        <v>4.03</v>
      </c>
      <c r="O146" s="6">
        <v>0.37390000000000001</v>
      </c>
      <c r="P146" s="6">
        <v>-7</v>
      </c>
      <c r="Q146" s="6">
        <v>0.246</v>
      </c>
      <c r="R146" s="6">
        <v>2.8880400000000002</v>
      </c>
      <c r="S146" s="6">
        <v>-24.6</v>
      </c>
      <c r="T146" s="6">
        <v>1.74</v>
      </c>
      <c r="U146" s="6">
        <v>4.3700000000000003E-2</v>
      </c>
      <c r="V146" s="6">
        <v>2.2000000000000002</v>
      </c>
      <c r="W146" s="6">
        <v>0.219</v>
      </c>
    </row>
    <row r="147" spans="1:23" x14ac:dyDescent="0.3">
      <c r="A147" s="7">
        <v>12</v>
      </c>
      <c r="B147" s="8" t="s">
        <v>123</v>
      </c>
      <c r="C147" s="8">
        <v>2</v>
      </c>
      <c r="D147" s="8" t="str">
        <f t="shared" si="2"/>
        <v>12,1980-1985,2</v>
      </c>
      <c r="E147" s="9">
        <v>0.47299999999999998</v>
      </c>
      <c r="F147" s="9">
        <v>23.9</v>
      </c>
      <c r="G147" s="9">
        <v>0.47699999999999998</v>
      </c>
      <c r="H147" s="9">
        <v>2.6</v>
      </c>
      <c r="I147" s="9">
        <v>3.2</v>
      </c>
      <c r="J147" s="9">
        <v>-2.1</v>
      </c>
      <c r="K147" s="9">
        <v>5.1999999999999998E-2</v>
      </c>
      <c r="L147" s="9">
        <v>7.11</v>
      </c>
      <c r="M147" s="9">
        <v>-31.1</v>
      </c>
      <c r="N147" s="9">
        <v>4.04</v>
      </c>
      <c r="O147" s="9">
        <v>0.40699999999999997</v>
      </c>
      <c r="P147" s="9">
        <v>-7.6</v>
      </c>
      <c r="Q147" s="9">
        <v>0.27100000000000002</v>
      </c>
      <c r="R147" s="9">
        <v>2.9937</v>
      </c>
      <c r="S147" s="9">
        <v>-35.299999999999997</v>
      </c>
      <c r="T147" s="9">
        <v>1.78</v>
      </c>
      <c r="U147" s="9">
        <v>3.9800000000000002E-2</v>
      </c>
      <c r="V147" s="9">
        <v>4.0999999999999996</v>
      </c>
      <c r="W147" s="9">
        <v>0.219</v>
      </c>
    </row>
    <row r="148" spans="1:23" x14ac:dyDescent="0.3">
      <c r="A148" s="4">
        <v>12</v>
      </c>
      <c r="B148" s="5" t="s">
        <v>124</v>
      </c>
      <c r="C148" s="5">
        <v>2</v>
      </c>
      <c r="D148" s="5" t="str">
        <f t="shared" si="2"/>
        <v>12,1985-1990,2</v>
      </c>
      <c r="E148" s="6">
        <v>0.38700000000000001</v>
      </c>
      <c r="F148" s="6">
        <v>40.1</v>
      </c>
      <c r="G148" s="6">
        <v>0.47599999999999998</v>
      </c>
      <c r="H148" s="6">
        <v>2.7</v>
      </c>
      <c r="I148" s="6">
        <v>3.4</v>
      </c>
      <c r="J148" s="6">
        <v>-29.7</v>
      </c>
      <c r="K148" s="6">
        <v>5.1999999999999998E-2</v>
      </c>
      <c r="L148" s="6">
        <v>6.59</v>
      </c>
      <c r="M148" s="6">
        <v>-24.7</v>
      </c>
      <c r="N148" s="6">
        <v>4.05</v>
      </c>
      <c r="O148" s="6">
        <v>0.41660000000000003</v>
      </c>
      <c r="P148" s="6">
        <v>-2.7</v>
      </c>
      <c r="Q148" s="6">
        <v>0.29299999999999998</v>
      </c>
      <c r="R148" s="6">
        <v>2.6649799999999999</v>
      </c>
      <c r="S148" s="6">
        <v>-14.2</v>
      </c>
      <c r="T148" s="6">
        <v>1.71</v>
      </c>
      <c r="U148" s="6">
        <v>5.16E-2</v>
      </c>
      <c r="V148" s="6">
        <v>3.2</v>
      </c>
      <c r="W148" s="6">
        <v>0.219</v>
      </c>
    </row>
    <row r="149" spans="1:23" x14ac:dyDescent="0.3">
      <c r="A149" s="7">
        <v>12</v>
      </c>
      <c r="B149" s="8" t="s">
        <v>125</v>
      </c>
      <c r="C149" s="8">
        <v>2</v>
      </c>
      <c r="D149" s="8" t="str">
        <f t="shared" si="2"/>
        <v>12,1990-1995,2</v>
      </c>
      <c r="E149" s="9">
        <v>0.32500000000000001</v>
      </c>
      <c r="F149" s="9">
        <v>55.9</v>
      </c>
      <c r="G149" s="9">
        <v>0.48699999999999999</v>
      </c>
      <c r="H149" s="9">
        <v>2.8</v>
      </c>
      <c r="I149" s="9">
        <v>3.4</v>
      </c>
      <c r="J149" s="9">
        <v>-11.4</v>
      </c>
      <c r="K149" s="9">
        <v>5.1999999999999998E-2</v>
      </c>
      <c r="L149" s="9">
        <v>6.69</v>
      </c>
      <c r="M149" s="9">
        <v>-25.3</v>
      </c>
      <c r="N149" s="9">
        <v>4.04</v>
      </c>
      <c r="O149" s="9">
        <v>0.39319999999999999</v>
      </c>
      <c r="P149" s="9">
        <v>6.1</v>
      </c>
      <c r="Q149" s="9">
        <v>0.30199999999999999</v>
      </c>
      <c r="R149" s="9">
        <v>2.7002000000000002</v>
      </c>
      <c r="S149" s="9">
        <v>-15.8</v>
      </c>
      <c r="T149" s="9">
        <v>1.73</v>
      </c>
      <c r="U149" s="9">
        <v>5.2600000000000001E-2</v>
      </c>
      <c r="V149" s="9">
        <v>3.6</v>
      </c>
      <c r="W149" s="9">
        <v>0.219</v>
      </c>
    </row>
    <row r="150" spans="1:23" x14ac:dyDescent="0.3">
      <c r="A150" s="4">
        <v>12</v>
      </c>
      <c r="B150" s="5" t="s">
        <v>126</v>
      </c>
      <c r="C150" s="5">
        <v>2</v>
      </c>
      <c r="D150" s="5" t="str">
        <f t="shared" si="2"/>
        <v>12,1995-2000,2</v>
      </c>
      <c r="E150" s="6">
        <v>0.58599999999999997</v>
      </c>
      <c r="F150" s="6">
        <v>2.57</v>
      </c>
      <c r="G150" s="6">
        <v>0.48799999999999999</v>
      </c>
      <c r="H150" s="6">
        <v>2.8</v>
      </c>
      <c r="I150" s="6">
        <v>3.5</v>
      </c>
      <c r="J150" s="6">
        <v>-23.8</v>
      </c>
      <c r="K150" s="6">
        <v>5.1999999999999998E-2</v>
      </c>
      <c r="L150" s="6">
        <v>6.25</v>
      </c>
      <c r="M150" s="6">
        <v>-21.4</v>
      </c>
      <c r="N150" s="6">
        <v>4.04</v>
      </c>
      <c r="O150" s="6">
        <v>0.37040000000000001</v>
      </c>
      <c r="P150" s="6">
        <v>-12.8</v>
      </c>
      <c r="Q150" s="6">
        <v>0.16900000000000001</v>
      </c>
      <c r="R150" s="6">
        <v>2.7823799999999999</v>
      </c>
      <c r="S150" s="6">
        <v>-19.3</v>
      </c>
      <c r="T150" s="6">
        <v>1.72</v>
      </c>
      <c r="U150" s="6">
        <v>4.2500000000000003E-2</v>
      </c>
      <c r="V150" s="6">
        <v>3.8</v>
      </c>
      <c r="W150" s="6">
        <v>0.219</v>
      </c>
    </row>
    <row r="151" spans="1:23" x14ac:dyDescent="0.3">
      <c r="A151" s="7">
        <v>12</v>
      </c>
      <c r="B151" s="8" t="s">
        <v>127</v>
      </c>
      <c r="C151" s="8">
        <v>2</v>
      </c>
      <c r="D151" s="8" t="str">
        <f t="shared" si="2"/>
        <v>12,2000-2005,2</v>
      </c>
      <c r="E151" s="9">
        <v>0.48199999999999998</v>
      </c>
      <c r="F151" s="9">
        <v>26.1</v>
      </c>
      <c r="G151" s="9">
        <v>0.49099999999999999</v>
      </c>
      <c r="H151" s="9">
        <v>2.8</v>
      </c>
      <c r="I151" s="9">
        <v>3.5</v>
      </c>
      <c r="J151" s="9">
        <v>-30.8</v>
      </c>
      <c r="K151" s="9">
        <v>5.1999999999999998E-2</v>
      </c>
      <c r="L151" s="9">
        <v>6.21</v>
      </c>
      <c r="M151" s="9">
        <v>-20.9</v>
      </c>
      <c r="N151" s="9">
        <v>4.0199999999999996</v>
      </c>
      <c r="O151" s="9">
        <v>0.41220000000000001</v>
      </c>
      <c r="P151" s="9">
        <v>-19.100000000000001</v>
      </c>
      <c r="Q151" s="9">
        <v>0.21199999999999999</v>
      </c>
      <c r="R151" s="9">
        <v>2.8410799999999998</v>
      </c>
      <c r="S151" s="9">
        <v>-22.5</v>
      </c>
      <c r="T151" s="9">
        <v>1.74</v>
      </c>
      <c r="U151" s="9">
        <v>4.3999999999999997E-2</v>
      </c>
      <c r="V151" s="9">
        <v>2.9</v>
      </c>
      <c r="W151" s="9">
        <v>0.219</v>
      </c>
    </row>
    <row r="152" spans="1:23" x14ac:dyDescent="0.3">
      <c r="A152" s="4">
        <v>12</v>
      </c>
      <c r="B152" s="5" t="s">
        <v>128</v>
      </c>
      <c r="C152" s="5">
        <v>2</v>
      </c>
      <c r="D152" s="5" t="str">
        <f t="shared" si="2"/>
        <v>12,2005-2010,2</v>
      </c>
      <c r="E152" s="6">
        <v>0.372</v>
      </c>
      <c r="F152" s="6">
        <v>49.4</v>
      </c>
      <c r="G152" s="6">
        <v>0.47599999999999998</v>
      </c>
      <c r="H152" s="6">
        <v>2.8</v>
      </c>
      <c r="I152" s="6">
        <v>3.5</v>
      </c>
      <c r="J152" s="6">
        <v>-16.5</v>
      </c>
      <c r="K152" s="6">
        <v>5.1999999999999998E-2</v>
      </c>
      <c r="L152" s="6">
        <v>6.32</v>
      </c>
      <c r="M152" s="6">
        <v>-22</v>
      </c>
      <c r="N152" s="6">
        <v>4.0199999999999996</v>
      </c>
      <c r="O152" s="6">
        <v>0.4375</v>
      </c>
      <c r="P152" s="6">
        <v>-23.1</v>
      </c>
      <c r="Q152" s="6">
        <v>0.255</v>
      </c>
      <c r="R152" s="6">
        <v>1.0119880000000001</v>
      </c>
      <c r="S152" s="6">
        <v>258</v>
      </c>
      <c r="T152" s="6">
        <v>1.82</v>
      </c>
      <c r="U152" s="6">
        <v>3.2800000000000003E-2</v>
      </c>
      <c r="V152" s="6">
        <v>4.7</v>
      </c>
      <c r="W152" s="6">
        <v>0.219</v>
      </c>
    </row>
    <row r="153" spans="1:23" x14ac:dyDescent="0.3">
      <c r="A153" s="7">
        <v>12</v>
      </c>
      <c r="B153" s="8" t="s">
        <v>129</v>
      </c>
      <c r="C153" s="8">
        <v>2</v>
      </c>
      <c r="D153" s="8" t="str">
        <f t="shared" si="2"/>
        <v>12,2010-2015,2</v>
      </c>
      <c r="E153" s="9">
        <v>0.439</v>
      </c>
      <c r="F153" s="9">
        <v>25</v>
      </c>
      <c r="G153" s="9">
        <v>0.439</v>
      </c>
      <c r="H153" s="9">
        <v>2.9</v>
      </c>
      <c r="I153" s="9">
        <v>3.6</v>
      </c>
      <c r="J153" s="9">
        <v>-14.7</v>
      </c>
      <c r="K153" s="9">
        <v>5.1999999999999998E-2</v>
      </c>
      <c r="L153" s="9">
        <v>6.52</v>
      </c>
      <c r="M153" s="9">
        <v>-24.3</v>
      </c>
      <c r="N153" s="9">
        <v>4.01</v>
      </c>
      <c r="O153" s="9">
        <v>0.4093</v>
      </c>
      <c r="P153" s="9">
        <v>-11.5</v>
      </c>
      <c r="Q153" s="9">
        <v>0.27700000000000002</v>
      </c>
      <c r="R153" s="9">
        <v>2.9115199999999999</v>
      </c>
      <c r="S153" s="9">
        <v>-15.4</v>
      </c>
      <c r="T153" s="9">
        <v>1.85</v>
      </c>
      <c r="U153" s="9">
        <v>4.1300000000000003E-2</v>
      </c>
      <c r="V153" s="9">
        <v>3</v>
      </c>
      <c r="W153" s="9">
        <v>0.219</v>
      </c>
    </row>
    <row r="154" spans="1:23" x14ac:dyDescent="0.3">
      <c r="A154" s="4">
        <v>12</v>
      </c>
      <c r="B154" s="5" t="s">
        <v>130</v>
      </c>
      <c r="C154" s="5">
        <v>2</v>
      </c>
      <c r="D154" s="5" t="str">
        <f t="shared" si="2"/>
        <v>12,2015-2020,2</v>
      </c>
      <c r="E154" s="6">
        <v>0.437</v>
      </c>
      <c r="F154" s="6">
        <v>29.5</v>
      </c>
      <c r="G154" s="6">
        <v>0.48299999999999998</v>
      </c>
      <c r="H154" s="6">
        <v>3</v>
      </c>
      <c r="I154" s="6">
        <v>4.0999999999999996</v>
      </c>
      <c r="J154" s="6">
        <v>-79.7</v>
      </c>
      <c r="K154" s="6">
        <v>5.1999999999999998E-2</v>
      </c>
      <c r="L154" s="6">
        <v>5.84</v>
      </c>
      <c r="M154" s="6">
        <v>-16.2</v>
      </c>
      <c r="N154" s="6">
        <v>4</v>
      </c>
      <c r="O154" s="6">
        <v>0.39389999999999997</v>
      </c>
      <c r="P154" s="6">
        <v>-11.1</v>
      </c>
      <c r="Q154" s="6">
        <v>0.23200000000000001</v>
      </c>
      <c r="R154" s="6">
        <v>2.8528199999999999</v>
      </c>
      <c r="S154" s="6">
        <v>4.24</v>
      </c>
      <c r="T154" s="6">
        <v>1.93</v>
      </c>
      <c r="U154" s="6">
        <v>3.3599999999999998E-2</v>
      </c>
      <c r="V154" s="6">
        <v>2.8</v>
      </c>
      <c r="W154" s="6">
        <v>0.219</v>
      </c>
    </row>
    <row r="155" spans="1:23" x14ac:dyDescent="0.3">
      <c r="A155" s="7">
        <v>12</v>
      </c>
      <c r="B155" s="8" t="s">
        <v>131</v>
      </c>
      <c r="C155" s="8">
        <v>2</v>
      </c>
      <c r="D155" s="8" t="str">
        <f t="shared" si="2"/>
        <v>12,2020-,2</v>
      </c>
      <c r="E155" s="9">
        <v>0.441</v>
      </c>
      <c r="F155" s="9">
        <v>28.7</v>
      </c>
      <c r="G155" s="9">
        <v>0.5</v>
      </c>
      <c r="H155" s="9">
        <v>3.1</v>
      </c>
      <c r="I155" s="9">
        <v>3.4</v>
      </c>
      <c r="J155" s="9">
        <v>111.4</v>
      </c>
      <c r="K155" s="9">
        <v>5.1999999999999998E-2</v>
      </c>
      <c r="L155" s="9">
        <v>6.71</v>
      </c>
      <c r="M155" s="9">
        <v>-24.8</v>
      </c>
      <c r="N155" s="9">
        <v>3.98</v>
      </c>
      <c r="O155" s="9">
        <v>0.51439999999999997</v>
      </c>
      <c r="P155" s="9">
        <v>-40.1</v>
      </c>
      <c r="Q155" s="9">
        <v>0.15</v>
      </c>
      <c r="R155" s="9">
        <v>3.2754599999999998</v>
      </c>
      <c r="S155" s="9">
        <v>-17.399999999999999</v>
      </c>
      <c r="T155" s="9">
        <v>2.13</v>
      </c>
      <c r="U155" s="9">
        <v>2.6599999999999999E-2</v>
      </c>
      <c r="V155" s="9">
        <v>4.3</v>
      </c>
      <c r="W155" s="9">
        <v>0.219</v>
      </c>
    </row>
    <row r="156" spans="1:23" x14ac:dyDescent="0.3">
      <c r="A156" s="4">
        <v>12</v>
      </c>
      <c r="B156" s="5">
        <v>-1920</v>
      </c>
      <c r="C156" s="5">
        <v>3</v>
      </c>
      <c r="D156" s="5" t="str">
        <f t="shared" si="2"/>
        <v>12,-1920,3</v>
      </c>
      <c r="E156" s="6">
        <v>0.25600000000000001</v>
      </c>
      <c r="F156" s="6">
        <v>53.6</v>
      </c>
      <c r="G156" s="6">
        <v>0.30399999999999999</v>
      </c>
      <c r="H156" s="6">
        <v>2.6</v>
      </c>
      <c r="I156" s="6">
        <v>3.3</v>
      </c>
      <c r="J156" s="6">
        <v>-29.2</v>
      </c>
      <c r="K156" s="6">
        <v>5.1999999999999998E-2</v>
      </c>
      <c r="L156" s="6">
        <v>5.23</v>
      </c>
      <c r="M156" s="6">
        <v>-8.44</v>
      </c>
      <c r="N156" s="6">
        <v>4.03</v>
      </c>
      <c r="O156" s="6">
        <v>0.64470000000000005</v>
      </c>
      <c r="P156" s="6">
        <v>-25.9</v>
      </c>
      <c r="Q156" s="6">
        <v>0.34799999999999998</v>
      </c>
      <c r="R156" s="6">
        <v>2.79</v>
      </c>
      <c r="S156" s="6">
        <v>-44.8</v>
      </c>
      <c r="T156" s="6">
        <v>1.65</v>
      </c>
      <c r="U156" s="6">
        <v>3.6799999999999999E-2</v>
      </c>
      <c r="V156" s="6">
        <v>5.0999999999999996</v>
      </c>
      <c r="W156" s="6">
        <v>0.219</v>
      </c>
    </row>
    <row r="157" spans="1:23" x14ac:dyDescent="0.3">
      <c r="A157" s="7">
        <v>12</v>
      </c>
      <c r="B157" s="8" t="s">
        <v>111</v>
      </c>
      <c r="C157" s="8">
        <v>3</v>
      </c>
      <c r="D157" s="8" t="str">
        <f t="shared" si="2"/>
        <v>12,1920-1925,3</v>
      </c>
      <c r="E157" s="9">
        <v>0.25600000000000001</v>
      </c>
      <c r="F157" s="9">
        <v>53.6</v>
      </c>
      <c r="G157" s="9">
        <v>0.30399999999999999</v>
      </c>
      <c r="H157" s="9">
        <v>2.7</v>
      </c>
      <c r="I157" s="9">
        <v>3.1</v>
      </c>
      <c r="J157" s="9">
        <v>-12</v>
      </c>
      <c r="K157" s="9">
        <v>5.1999999999999998E-2</v>
      </c>
      <c r="L157" s="9">
        <v>4.9800000000000004</v>
      </c>
      <c r="M157" s="9">
        <v>-5.89</v>
      </c>
      <c r="N157" s="9">
        <v>4.03</v>
      </c>
      <c r="O157" s="9">
        <v>0.61</v>
      </c>
      <c r="P157" s="9">
        <v>-38.6</v>
      </c>
      <c r="Q157" s="9">
        <v>0.27</v>
      </c>
      <c r="R157" s="9">
        <v>2.52</v>
      </c>
      <c r="S157" s="9">
        <v>-27</v>
      </c>
      <c r="T157" s="9">
        <v>1.65</v>
      </c>
      <c r="U157" s="9">
        <v>2.3599999999999999E-2</v>
      </c>
      <c r="V157" s="9">
        <v>6.4</v>
      </c>
      <c r="W157" s="9">
        <v>0.219</v>
      </c>
    </row>
    <row r="158" spans="1:23" x14ac:dyDescent="0.3">
      <c r="A158" s="4">
        <v>12</v>
      </c>
      <c r="B158" s="5" t="s">
        <v>112</v>
      </c>
      <c r="C158" s="5">
        <v>3</v>
      </c>
      <c r="D158" s="5" t="str">
        <f t="shared" si="2"/>
        <v>12,1925-1930,3</v>
      </c>
      <c r="E158" s="6">
        <v>0.25600000000000001</v>
      </c>
      <c r="F158" s="6">
        <v>53.6</v>
      </c>
      <c r="G158" s="6">
        <v>0.30399999999999999</v>
      </c>
      <c r="H158" s="6">
        <v>2.7</v>
      </c>
      <c r="I158" s="6">
        <v>2.8</v>
      </c>
      <c r="J158" s="6">
        <v>66.5</v>
      </c>
      <c r="K158" s="6">
        <v>5.1999999999999998E-2</v>
      </c>
      <c r="L158" s="6">
        <v>4.97</v>
      </c>
      <c r="M158" s="6">
        <v>-5.75</v>
      </c>
      <c r="N158" s="6">
        <v>4.01</v>
      </c>
      <c r="O158" s="6">
        <v>0.52780000000000005</v>
      </c>
      <c r="P158" s="6">
        <v>-16.5</v>
      </c>
      <c r="Q158" s="6">
        <v>0.27200000000000002</v>
      </c>
      <c r="R158" s="6">
        <v>2.33</v>
      </c>
      <c r="S158" s="6">
        <v>-11.2</v>
      </c>
      <c r="T158" s="6">
        <v>1.66</v>
      </c>
      <c r="U158" s="6">
        <v>1.8499999999999999E-2</v>
      </c>
      <c r="V158" s="6">
        <v>7</v>
      </c>
      <c r="W158" s="6">
        <v>0.219</v>
      </c>
    </row>
    <row r="159" spans="1:23" x14ac:dyDescent="0.3">
      <c r="A159" s="7">
        <v>12</v>
      </c>
      <c r="B159" s="8" t="s">
        <v>113</v>
      </c>
      <c r="C159" s="8">
        <v>3</v>
      </c>
      <c r="D159" s="8" t="str">
        <f t="shared" si="2"/>
        <v>12,1930-1935,3</v>
      </c>
      <c r="E159" s="9">
        <v>0.25600000000000001</v>
      </c>
      <c r="F159" s="9">
        <v>53.6</v>
      </c>
      <c r="G159" s="9">
        <v>0.30399999999999999</v>
      </c>
      <c r="H159" s="9">
        <v>2.9</v>
      </c>
      <c r="I159" s="9">
        <v>3.4</v>
      </c>
      <c r="J159" s="9">
        <v>-41.5</v>
      </c>
      <c r="K159" s="9">
        <v>5.1999999999999998E-2</v>
      </c>
      <c r="L159" s="9">
        <v>4.68</v>
      </c>
      <c r="M159" s="9">
        <v>-2.91</v>
      </c>
      <c r="N159" s="9">
        <v>4.09</v>
      </c>
      <c r="O159" s="9">
        <v>0.54410000000000003</v>
      </c>
      <c r="P159" s="9">
        <v>-22.8</v>
      </c>
      <c r="Q159" s="9">
        <v>0.35799999999999998</v>
      </c>
      <c r="R159" s="9">
        <v>2.98</v>
      </c>
      <c r="S159" s="9">
        <v>-68.3</v>
      </c>
      <c r="T159" s="9">
        <v>1.68</v>
      </c>
      <c r="U159" s="9">
        <v>1.6400000000000001E-2</v>
      </c>
      <c r="V159" s="9">
        <v>7.4</v>
      </c>
      <c r="W159" s="9">
        <v>0.219</v>
      </c>
    </row>
    <row r="160" spans="1:23" x14ac:dyDescent="0.3">
      <c r="A160" s="4">
        <v>12</v>
      </c>
      <c r="B160" s="5" t="s">
        <v>114</v>
      </c>
      <c r="C160" s="5">
        <v>3</v>
      </c>
      <c r="D160" s="5" t="str">
        <f t="shared" si="2"/>
        <v>12,1935-1940,3</v>
      </c>
      <c r="E160" s="6">
        <v>0.25600000000000001</v>
      </c>
      <c r="F160" s="6">
        <v>53.6</v>
      </c>
      <c r="G160" s="6">
        <v>0.30399999999999999</v>
      </c>
      <c r="H160" s="6">
        <v>2.8</v>
      </c>
      <c r="I160" s="6">
        <v>3.4</v>
      </c>
      <c r="J160" s="6">
        <v>-37.200000000000003</v>
      </c>
      <c r="K160" s="6">
        <v>5.1999999999999998E-2</v>
      </c>
      <c r="L160" s="6">
        <v>5.19</v>
      </c>
      <c r="M160" s="6">
        <v>-8.65</v>
      </c>
      <c r="N160" s="6">
        <v>4</v>
      </c>
      <c r="O160" s="6">
        <v>0.64</v>
      </c>
      <c r="P160" s="6">
        <v>-40.700000000000003</v>
      </c>
      <c r="Q160" s="6">
        <v>0.36699999999999999</v>
      </c>
      <c r="R160" s="6">
        <v>2.72</v>
      </c>
      <c r="S160" s="6">
        <v>-44.6</v>
      </c>
      <c r="T160" s="6">
        <v>1.67</v>
      </c>
      <c r="U160" s="6">
        <v>4.1300000000000003E-2</v>
      </c>
      <c r="V160" s="6">
        <v>3.7</v>
      </c>
      <c r="W160" s="6">
        <v>0.219</v>
      </c>
    </row>
    <row r="161" spans="1:23" x14ac:dyDescent="0.3">
      <c r="A161" s="7">
        <v>12</v>
      </c>
      <c r="B161" s="8" t="s">
        <v>115</v>
      </c>
      <c r="C161" s="8">
        <v>3</v>
      </c>
      <c r="D161" s="8" t="str">
        <f t="shared" si="2"/>
        <v>12,1940-1945,3</v>
      </c>
      <c r="E161" s="9">
        <v>0.25600000000000001</v>
      </c>
      <c r="F161" s="9">
        <v>53.6</v>
      </c>
      <c r="G161" s="9">
        <v>0.30399999999999999</v>
      </c>
      <c r="H161" s="9">
        <v>2.8</v>
      </c>
      <c r="I161" s="9">
        <v>2.7</v>
      </c>
      <c r="J161" s="9">
        <v>64.599999999999994</v>
      </c>
      <c r="K161" s="9">
        <v>5.1999999999999998E-2</v>
      </c>
      <c r="L161" s="9">
        <v>4.99</v>
      </c>
      <c r="M161" s="9">
        <v>-7.13</v>
      </c>
      <c r="N161" s="9">
        <v>3.99</v>
      </c>
      <c r="O161" s="9">
        <v>0.54100000000000004</v>
      </c>
      <c r="P161" s="9">
        <v>-22.4</v>
      </c>
      <c r="Q161" s="9">
        <v>0.35299999999999998</v>
      </c>
      <c r="R161" s="9">
        <v>2.5099999999999998</v>
      </c>
      <c r="S161" s="9">
        <v>-21.9</v>
      </c>
      <c r="T161" s="9">
        <v>1.66</v>
      </c>
      <c r="U161" s="9">
        <v>1.03E-2</v>
      </c>
      <c r="V161" s="9">
        <v>6.1</v>
      </c>
      <c r="W161" s="9">
        <v>0.219</v>
      </c>
    </row>
    <row r="162" spans="1:23" x14ac:dyDescent="0.3">
      <c r="A162" s="4">
        <v>12</v>
      </c>
      <c r="B162" s="5" t="s">
        <v>116</v>
      </c>
      <c r="C162" s="5">
        <v>3</v>
      </c>
      <c r="D162" s="5" t="str">
        <f t="shared" si="2"/>
        <v>12,1945-1950,3</v>
      </c>
      <c r="E162" s="6">
        <v>0.25600000000000001</v>
      </c>
      <c r="F162" s="6">
        <v>53.6</v>
      </c>
      <c r="G162" s="6">
        <v>0.30399999999999999</v>
      </c>
      <c r="H162" s="6">
        <v>2.8</v>
      </c>
      <c r="I162" s="6">
        <v>3</v>
      </c>
      <c r="J162" s="6">
        <v>12.3</v>
      </c>
      <c r="K162" s="6">
        <v>5.1999999999999998E-2</v>
      </c>
      <c r="L162" s="6">
        <v>6.1</v>
      </c>
      <c r="M162" s="6">
        <v>-16.7</v>
      </c>
      <c r="N162" s="6">
        <v>4</v>
      </c>
      <c r="O162" s="6">
        <v>0.53090000000000004</v>
      </c>
      <c r="P162" s="6">
        <v>-16.7</v>
      </c>
      <c r="Q162" s="6">
        <v>0.312</v>
      </c>
      <c r="R162" s="6">
        <v>2.2599999999999998</v>
      </c>
      <c r="S162" s="6">
        <v>-8.9600000000000009</v>
      </c>
      <c r="T162" s="6">
        <v>1.64</v>
      </c>
      <c r="U162" s="6">
        <v>3.1699999999999999E-2</v>
      </c>
      <c r="V162" s="6">
        <v>4.5</v>
      </c>
      <c r="W162" s="6">
        <v>0.219</v>
      </c>
    </row>
    <row r="163" spans="1:23" x14ac:dyDescent="0.3">
      <c r="A163" s="7">
        <v>12</v>
      </c>
      <c r="B163" s="8" t="s">
        <v>117</v>
      </c>
      <c r="C163" s="8">
        <v>3</v>
      </c>
      <c r="D163" s="8" t="str">
        <f t="shared" si="2"/>
        <v>12,1950-1955,3</v>
      </c>
      <c r="E163" s="9">
        <v>0.25600000000000001</v>
      </c>
      <c r="F163" s="9">
        <v>53.6</v>
      </c>
      <c r="G163" s="9">
        <v>0.30399999999999999</v>
      </c>
      <c r="H163" s="9">
        <v>2.8</v>
      </c>
      <c r="I163" s="9">
        <v>3.4</v>
      </c>
      <c r="J163" s="9">
        <v>-37.700000000000003</v>
      </c>
      <c r="K163" s="9">
        <v>5.1999999999999998E-2</v>
      </c>
      <c r="L163" s="9">
        <v>6.47</v>
      </c>
      <c r="M163" s="9">
        <v>-20.5</v>
      </c>
      <c r="N163" s="9">
        <v>4.05</v>
      </c>
      <c r="O163" s="9">
        <v>0.53469999999999995</v>
      </c>
      <c r="P163" s="9">
        <v>-25.6</v>
      </c>
      <c r="Q163" s="9">
        <v>0.26300000000000001</v>
      </c>
      <c r="R163" s="9">
        <v>2.33</v>
      </c>
      <c r="S163" s="9">
        <v>-13.9</v>
      </c>
      <c r="T163" s="9">
        <v>1.65</v>
      </c>
      <c r="U163" s="9">
        <v>3.3500000000000002E-2</v>
      </c>
      <c r="V163" s="9">
        <v>4.8</v>
      </c>
      <c r="W163" s="9">
        <v>0.219</v>
      </c>
    </row>
    <row r="164" spans="1:23" x14ac:dyDescent="0.3">
      <c r="A164" s="4">
        <v>12</v>
      </c>
      <c r="B164" s="5" t="s">
        <v>118</v>
      </c>
      <c r="C164" s="5">
        <v>3</v>
      </c>
      <c r="D164" s="5" t="str">
        <f t="shared" si="2"/>
        <v>12,1955-1960,3</v>
      </c>
      <c r="E164" s="6">
        <v>0.25600000000000001</v>
      </c>
      <c r="F164" s="6">
        <v>53.6</v>
      </c>
      <c r="G164" s="6">
        <v>0.30399999999999999</v>
      </c>
      <c r="H164" s="6">
        <v>2.8</v>
      </c>
      <c r="I164" s="6">
        <v>3.1</v>
      </c>
      <c r="J164" s="6">
        <v>11.6</v>
      </c>
      <c r="K164" s="6">
        <v>5.1999999999999998E-2</v>
      </c>
      <c r="L164" s="6">
        <v>6.84</v>
      </c>
      <c r="M164" s="6">
        <v>-25.1</v>
      </c>
      <c r="N164" s="6">
        <v>4.01</v>
      </c>
      <c r="O164" s="6">
        <v>0.52590000000000003</v>
      </c>
      <c r="P164" s="6">
        <v>-19.5</v>
      </c>
      <c r="Q164" s="6">
        <v>0.30599999999999999</v>
      </c>
      <c r="R164" s="6">
        <v>2.25</v>
      </c>
      <c r="S164" s="6">
        <v>-6</v>
      </c>
      <c r="T164" s="6">
        <v>1.65</v>
      </c>
      <c r="U164" s="6">
        <v>4.0599999999999997E-2</v>
      </c>
      <c r="V164" s="6">
        <v>3.6</v>
      </c>
      <c r="W164" s="6">
        <v>0.219</v>
      </c>
    </row>
    <row r="165" spans="1:23" x14ac:dyDescent="0.3">
      <c r="A165" s="7">
        <v>12</v>
      </c>
      <c r="B165" s="8" t="s">
        <v>119</v>
      </c>
      <c r="C165" s="8">
        <v>3</v>
      </c>
      <c r="D165" s="8" t="str">
        <f t="shared" si="2"/>
        <v>12,1960-1965,3</v>
      </c>
      <c r="E165" s="9">
        <v>0.25600000000000001</v>
      </c>
      <c r="F165" s="9">
        <v>53.6</v>
      </c>
      <c r="G165" s="9">
        <v>0.30399999999999999</v>
      </c>
      <c r="H165" s="9">
        <v>2.6</v>
      </c>
      <c r="I165" s="9">
        <v>3.1</v>
      </c>
      <c r="J165" s="9">
        <v>16.600000000000001</v>
      </c>
      <c r="K165" s="9">
        <v>5.1999999999999998E-2</v>
      </c>
      <c r="L165" s="9">
        <v>7.22</v>
      </c>
      <c r="M165" s="9">
        <v>-30.4</v>
      </c>
      <c r="N165" s="9">
        <v>4</v>
      </c>
      <c r="O165" s="9">
        <v>0.5907</v>
      </c>
      <c r="P165" s="9">
        <v>-41.8</v>
      </c>
      <c r="Q165" s="9">
        <v>0.40699999999999997</v>
      </c>
      <c r="R165" s="9">
        <v>2.23</v>
      </c>
      <c r="S165" s="9">
        <v>-1.1299999999999999</v>
      </c>
      <c r="T165" s="9">
        <v>1.67</v>
      </c>
      <c r="U165" s="9">
        <v>3.6600000000000001E-2</v>
      </c>
      <c r="V165" s="9">
        <v>3.1</v>
      </c>
      <c r="W165" s="9">
        <v>0.219</v>
      </c>
    </row>
    <row r="166" spans="1:23" x14ac:dyDescent="0.3">
      <c r="A166" s="4">
        <v>12</v>
      </c>
      <c r="B166" s="5" t="s">
        <v>120</v>
      </c>
      <c r="C166" s="5">
        <v>3</v>
      </c>
      <c r="D166" s="5" t="str">
        <f t="shared" si="2"/>
        <v>12,1965-1970,3</v>
      </c>
      <c r="E166" s="6">
        <v>0.25600000000000001</v>
      </c>
      <c r="F166" s="6">
        <v>53.6</v>
      </c>
      <c r="G166" s="6">
        <v>0.30399999999999999</v>
      </c>
      <c r="H166" s="6">
        <v>2.6</v>
      </c>
      <c r="I166" s="6">
        <v>3.1</v>
      </c>
      <c r="J166" s="6">
        <v>-1.3</v>
      </c>
      <c r="K166" s="6">
        <v>5.1999999999999998E-2</v>
      </c>
      <c r="L166" s="6">
        <v>7.62</v>
      </c>
      <c r="M166" s="6">
        <v>-36.9</v>
      </c>
      <c r="N166" s="6">
        <v>4.0199999999999996</v>
      </c>
      <c r="O166" s="6">
        <v>0.53910000000000002</v>
      </c>
      <c r="P166" s="6">
        <v>-18.7</v>
      </c>
      <c r="Q166" s="6">
        <v>0.40600000000000003</v>
      </c>
      <c r="R166" s="6">
        <v>2.14</v>
      </c>
      <c r="S166" s="6">
        <v>6.78</v>
      </c>
      <c r="T166" s="6">
        <v>1.69</v>
      </c>
      <c r="U166" s="6">
        <v>3.9600000000000003E-2</v>
      </c>
      <c r="V166" s="6">
        <v>2.2999999999999998</v>
      </c>
      <c r="W166" s="6">
        <v>0.219</v>
      </c>
    </row>
    <row r="167" spans="1:23" x14ac:dyDescent="0.3">
      <c r="A167" s="7">
        <v>12</v>
      </c>
      <c r="B167" s="8" t="s">
        <v>121</v>
      </c>
      <c r="C167" s="8">
        <v>3</v>
      </c>
      <c r="D167" s="8" t="str">
        <f t="shared" si="2"/>
        <v>12,1970-1975,3</v>
      </c>
      <c r="E167" s="9">
        <v>0.25600000000000001</v>
      </c>
      <c r="F167" s="9">
        <v>53.6</v>
      </c>
      <c r="G167" s="9">
        <v>0.30399999999999999</v>
      </c>
      <c r="H167" s="9">
        <v>2.6</v>
      </c>
      <c r="I167" s="9">
        <v>3</v>
      </c>
      <c r="J167" s="9">
        <v>9.8000000000000007</v>
      </c>
      <c r="K167" s="9">
        <v>5.1999999999999998E-2</v>
      </c>
      <c r="L167" s="9">
        <v>8.7799999999999994</v>
      </c>
      <c r="M167" s="9">
        <v>-56.3</v>
      </c>
      <c r="N167" s="9">
        <v>4.1100000000000003</v>
      </c>
      <c r="O167" s="9">
        <v>0.51580000000000004</v>
      </c>
      <c r="P167" s="9">
        <v>-23.7</v>
      </c>
      <c r="Q167" s="9">
        <v>0.26900000000000002</v>
      </c>
      <c r="R167" s="9">
        <v>2.31</v>
      </c>
      <c r="S167" s="9">
        <v>-13.3</v>
      </c>
      <c r="T167" s="9">
        <v>1.71</v>
      </c>
      <c r="U167" s="9">
        <v>4.4900000000000002E-2</v>
      </c>
      <c r="V167" s="9">
        <v>1.1000000000000001</v>
      </c>
      <c r="W167" s="9">
        <v>0.219</v>
      </c>
    </row>
    <row r="168" spans="1:23" x14ac:dyDescent="0.3">
      <c r="A168" s="4">
        <v>12</v>
      </c>
      <c r="B168" s="5" t="s">
        <v>122</v>
      </c>
      <c r="C168" s="5">
        <v>3</v>
      </c>
      <c r="D168" s="5" t="str">
        <f t="shared" si="2"/>
        <v>12,1975-1980,3</v>
      </c>
      <c r="E168" s="6">
        <v>0.25600000000000001</v>
      </c>
      <c r="F168" s="6">
        <v>53.6</v>
      </c>
      <c r="G168" s="6">
        <v>0.30399999999999999</v>
      </c>
      <c r="H168" s="6">
        <v>2.6</v>
      </c>
      <c r="I168" s="6">
        <v>3</v>
      </c>
      <c r="J168" s="6">
        <v>-4.5999999999999996</v>
      </c>
      <c r="K168" s="6">
        <v>5.1999999999999998E-2</v>
      </c>
      <c r="L168" s="6">
        <v>7.59</v>
      </c>
      <c r="M168" s="6">
        <v>-37.299999999999997</v>
      </c>
      <c r="N168" s="6">
        <v>4.03</v>
      </c>
      <c r="O168" s="6">
        <v>0.51259999999999994</v>
      </c>
      <c r="P168" s="6">
        <v>-33.4</v>
      </c>
      <c r="Q168" s="6">
        <v>0.34200000000000003</v>
      </c>
      <c r="R168" s="6">
        <v>2.46</v>
      </c>
      <c r="S168" s="6">
        <v>-24.6</v>
      </c>
      <c r="T168" s="6">
        <v>1.74</v>
      </c>
      <c r="U168" s="6">
        <v>4.3700000000000003E-2</v>
      </c>
      <c r="V168" s="6">
        <v>2.2000000000000002</v>
      </c>
      <c r="W168" s="6">
        <v>0.219</v>
      </c>
    </row>
    <row r="169" spans="1:23" x14ac:dyDescent="0.3">
      <c r="A169" s="7">
        <v>12</v>
      </c>
      <c r="B169" s="8" t="s">
        <v>123</v>
      </c>
      <c r="C169" s="8">
        <v>3</v>
      </c>
      <c r="D169" s="8" t="str">
        <f t="shared" si="2"/>
        <v>12,1980-1985,3</v>
      </c>
      <c r="E169" s="9">
        <v>0.25600000000000001</v>
      </c>
      <c r="F169" s="9">
        <v>53.6</v>
      </c>
      <c r="G169" s="9">
        <v>0.30399999999999999</v>
      </c>
      <c r="H169" s="9">
        <v>2.6</v>
      </c>
      <c r="I169" s="9">
        <v>3.2</v>
      </c>
      <c r="J169" s="9">
        <v>-2.1</v>
      </c>
      <c r="K169" s="9">
        <v>5.1999999999999998E-2</v>
      </c>
      <c r="L169" s="9">
        <v>7.11</v>
      </c>
      <c r="M169" s="9">
        <v>-31.1</v>
      </c>
      <c r="N169" s="9">
        <v>4.04</v>
      </c>
      <c r="O169" s="9">
        <v>0.52639999999999998</v>
      </c>
      <c r="P169" s="9">
        <v>-17.399999999999999</v>
      </c>
      <c r="Q169" s="9">
        <v>0.41499999999999998</v>
      </c>
      <c r="R169" s="9">
        <v>2.5499999999999998</v>
      </c>
      <c r="S169" s="9">
        <v>-35.299999999999997</v>
      </c>
      <c r="T169" s="9">
        <v>1.78</v>
      </c>
      <c r="U169" s="9">
        <v>3.9800000000000002E-2</v>
      </c>
      <c r="V169" s="9">
        <v>4.0999999999999996</v>
      </c>
      <c r="W169" s="9">
        <v>0.219</v>
      </c>
    </row>
    <row r="170" spans="1:23" x14ac:dyDescent="0.3">
      <c r="A170" s="4">
        <v>12</v>
      </c>
      <c r="B170" s="5" t="s">
        <v>124</v>
      </c>
      <c r="C170" s="5">
        <v>3</v>
      </c>
      <c r="D170" s="5" t="str">
        <f t="shared" si="2"/>
        <v>12,1985-1990,3</v>
      </c>
      <c r="E170" s="6">
        <v>0.25600000000000001</v>
      </c>
      <c r="F170" s="6">
        <v>53.6</v>
      </c>
      <c r="G170" s="6">
        <v>0.30399999999999999</v>
      </c>
      <c r="H170" s="6">
        <v>2.7</v>
      </c>
      <c r="I170" s="6">
        <v>3.4</v>
      </c>
      <c r="J170" s="6">
        <v>-29.7</v>
      </c>
      <c r="K170" s="6">
        <v>5.1999999999999998E-2</v>
      </c>
      <c r="L170" s="6">
        <v>6.59</v>
      </c>
      <c r="M170" s="6">
        <v>-24.7</v>
      </c>
      <c r="N170" s="6">
        <v>4.05</v>
      </c>
      <c r="O170" s="6">
        <v>0.94589999999999996</v>
      </c>
      <c r="P170" s="6">
        <v>-135</v>
      </c>
      <c r="Q170" s="6">
        <v>0.46</v>
      </c>
      <c r="R170" s="6">
        <v>2.27</v>
      </c>
      <c r="S170" s="6">
        <v>-14.2</v>
      </c>
      <c r="T170" s="6">
        <v>1.71</v>
      </c>
      <c r="U170" s="6">
        <v>5.16E-2</v>
      </c>
      <c r="V170" s="6">
        <v>3.2</v>
      </c>
      <c r="W170" s="6">
        <v>0.219</v>
      </c>
    </row>
    <row r="171" spans="1:23" x14ac:dyDescent="0.3">
      <c r="A171" s="7">
        <v>12</v>
      </c>
      <c r="B171" s="8" t="s">
        <v>125</v>
      </c>
      <c r="C171" s="8">
        <v>3</v>
      </c>
      <c r="D171" s="8" t="str">
        <f t="shared" si="2"/>
        <v>12,1990-1995,3</v>
      </c>
      <c r="E171" s="9">
        <v>0.25600000000000001</v>
      </c>
      <c r="F171" s="9">
        <v>53.6</v>
      </c>
      <c r="G171" s="9">
        <v>0.30399999999999999</v>
      </c>
      <c r="H171" s="9">
        <v>2.8</v>
      </c>
      <c r="I171" s="9">
        <v>3.4</v>
      </c>
      <c r="J171" s="9">
        <v>-11.4</v>
      </c>
      <c r="K171" s="9">
        <v>5.1999999999999998E-2</v>
      </c>
      <c r="L171" s="9">
        <v>6.69</v>
      </c>
      <c r="M171" s="9">
        <v>-25.3</v>
      </c>
      <c r="N171" s="9">
        <v>4.04</v>
      </c>
      <c r="O171" s="9">
        <v>1.2877000000000001</v>
      </c>
      <c r="P171" s="9">
        <v>-165.4</v>
      </c>
      <c r="Q171" s="9">
        <v>0.45500000000000002</v>
      </c>
      <c r="R171" s="9">
        <v>2.2999999999999998</v>
      </c>
      <c r="S171" s="9">
        <v>-15.8</v>
      </c>
      <c r="T171" s="9">
        <v>1.73</v>
      </c>
      <c r="U171" s="9">
        <v>5.2600000000000001E-2</v>
      </c>
      <c r="V171" s="9">
        <v>3.6</v>
      </c>
      <c r="W171" s="9">
        <v>0.219</v>
      </c>
    </row>
    <row r="172" spans="1:23" x14ac:dyDescent="0.3">
      <c r="A172" s="4">
        <v>12</v>
      </c>
      <c r="B172" s="5" t="s">
        <v>126</v>
      </c>
      <c r="C172" s="5">
        <v>3</v>
      </c>
      <c r="D172" s="5" t="str">
        <f t="shared" si="2"/>
        <v>12,1995-2000,3</v>
      </c>
      <c r="E172" s="6">
        <v>0.25600000000000001</v>
      </c>
      <c r="F172" s="6">
        <v>53.6</v>
      </c>
      <c r="G172" s="6">
        <v>0.30399999999999999</v>
      </c>
      <c r="H172" s="6">
        <v>2.8</v>
      </c>
      <c r="I172" s="6">
        <v>3.5</v>
      </c>
      <c r="J172" s="6">
        <v>-23.8</v>
      </c>
      <c r="K172" s="6">
        <v>5.1999999999999998E-2</v>
      </c>
      <c r="L172" s="6">
        <v>6.25</v>
      </c>
      <c r="M172" s="6">
        <v>-21.4</v>
      </c>
      <c r="N172" s="6">
        <v>4.04</v>
      </c>
      <c r="O172" s="6">
        <v>0.17599999999999999</v>
      </c>
      <c r="P172" s="6">
        <v>0</v>
      </c>
      <c r="Q172" s="6">
        <v>0.17599999999999999</v>
      </c>
      <c r="R172" s="6">
        <v>2.37</v>
      </c>
      <c r="S172" s="6">
        <v>-19.3</v>
      </c>
      <c r="T172" s="6">
        <v>1.72</v>
      </c>
      <c r="U172" s="6">
        <v>4.2500000000000003E-2</v>
      </c>
      <c r="V172" s="6">
        <v>3.8</v>
      </c>
      <c r="W172" s="6">
        <v>0.219</v>
      </c>
    </row>
    <row r="173" spans="1:23" x14ac:dyDescent="0.3">
      <c r="A173" s="7">
        <v>12</v>
      </c>
      <c r="B173" s="8" t="s">
        <v>127</v>
      </c>
      <c r="C173" s="8">
        <v>3</v>
      </c>
      <c r="D173" s="8" t="str">
        <f t="shared" si="2"/>
        <v>12,2000-2005,3</v>
      </c>
      <c r="E173" s="9">
        <v>0.25600000000000001</v>
      </c>
      <c r="F173" s="9">
        <v>53.6</v>
      </c>
      <c r="G173" s="9">
        <v>0.30399999999999999</v>
      </c>
      <c r="H173" s="9">
        <v>2.8</v>
      </c>
      <c r="I173" s="9">
        <v>3.5</v>
      </c>
      <c r="J173" s="9">
        <v>-30.8</v>
      </c>
      <c r="K173" s="9">
        <v>5.1999999999999998E-2</v>
      </c>
      <c r="L173" s="9">
        <v>6.21</v>
      </c>
      <c r="M173" s="9">
        <v>-20.9</v>
      </c>
      <c r="N173" s="9">
        <v>4.0199999999999996</v>
      </c>
      <c r="O173" s="9">
        <v>0.19470000000000001</v>
      </c>
      <c r="P173" s="9">
        <v>65.599999999999994</v>
      </c>
      <c r="Q173" s="9">
        <v>0.31</v>
      </c>
      <c r="R173" s="9">
        <v>2.42</v>
      </c>
      <c r="S173" s="9">
        <v>-22.5</v>
      </c>
      <c r="T173" s="9">
        <v>1.74</v>
      </c>
      <c r="U173" s="9">
        <v>4.3999999999999997E-2</v>
      </c>
      <c r="V173" s="9">
        <v>2.9</v>
      </c>
      <c r="W173" s="9">
        <v>0.219</v>
      </c>
    </row>
    <row r="174" spans="1:23" x14ac:dyDescent="0.3">
      <c r="A174" s="4">
        <v>12</v>
      </c>
      <c r="B174" s="5" t="s">
        <v>128</v>
      </c>
      <c r="C174" s="5">
        <v>3</v>
      </c>
      <c r="D174" s="5" t="str">
        <f t="shared" si="2"/>
        <v>12,2005-2010,3</v>
      </c>
      <c r="E174" s="6">
        <v>0.25600000000000001</v>
      </c>
      <c r="F174" s="6">
        <v>53.6</v>
      </c>
      <c r="G174" s="6">
        <v>0.30399999999999999</v>
      </c>
      <c r="H174" s="6">
        <v>2.8</v>
      </c>
      <c r="I174" s="6">
        <v>3.5</v>
      </c>
      <c r="J174" s="6">
        <v>-16.5</v>
      </c>
      <c r="K174" s="6">
        <v>5.1999999999999998E-2</v>
      </c>
      <c r="L174" s="6">
        <v>6.32</v>
      </c>
      <c r="M174" s="6">
        <v>-22</v>
      </c>
      <c r="N174" s="6">
        <v>4.0199999999999996</v>
      </c>
      <c r="O174" s="6">
        <v>0.20300000000000001</v>
      </c>
      <c r="P174" s="6">
        <v>0</v>
      </c>
      <c r="Q174" s="6">
        <v>0.20300000000000001</v>
      </c>
      <c r="R174" s="6">
        <v>0.86199999999999999</v>
      </c>
      <c r="S174" s="6">
        <v>258</v>
      </c>
      <c r="T174" s="6">
        <v>1.82</v>
      </c>
      <c r="U174" s="6">
        <v>3.2800000000000003E-2</v>
      </c>
      <c r="V174" s="6">
        <v>4.7</v>
      </c>
      <c r="W174" s="6">
        <v>0.219</v>
      </c>
    </row>
    <row r="175" spans="1:23" x14ac:dyDescent="0.3">
      <c r="A175" s="7">
        <v>12</v>
      </c>
      <c r="B175" s="8" t="s">
        <v>129</v>
      </c>
      <c r="C175" s="8">
        <v>3</v>
      </c>
      <c r="D175" s="8" t="str">
        <f t="shared" si="2"/>
        <v>12,2010-2015,3</v>
      </c>
      <c r="E175" s="9">
        <v>0.25600000000000001</v>
      </c>
      <c r="F175" s="9">
        <v>53.6</v>
      </c>
      <c r="G175" s="9">
        <v>0.30399999999999999</v>
      </c>
      <c r="H175" s="9">
        <v>2.9</v>
      </c>
      <c r="I175" s="9">
        <v>3.6</v>
      </c>
      <c r="J175" s="9">
        <v>-14.7</v>
      </c>
      <c r="K175" s="9">
        <v>5.1999999999999998E-2</v>
      </c>
      <c r="L175" s="9">
        <v>6.52</v>
      </c>
      <c r="M175" s="9">
        <v>-24.3</v>
      </c>
      <c r="N175" s="9">
        <v>4.01</v>
      </c>
      <c r="O175" s="9">
        <v>0.251</v>
      </c>
      <c r="P175" s="9">
        <v>0</v>
      </c>
      <c r="Q175" s="9">
        <v>0.251</v>
      </c>
      <c r="R175" s="9">
        <v>2.48</v>
      </c>
      <c r="S175" s="9">
        <v>-15.4</v>
      </c>
      <c r="T175" s="9">
        <v>1.85</v>
      </c>
      <c r="U175" s="9">
        <v>4.1300000000000003E-2</v>
      </c>
      <c r="V175" s="9">
        <v>3</v>
      </c>
      <c r="W175" s="9">
        <v>0.219</v>
      </c>
    </row>
    <row r="176" spans="1:23" x14ac:dyDescent="0.3">
      <c r="A176" s="4">
        <v>12</v>
      </c>
      <c r="B176" s="5" t="s">
        <v>130</v>
      </c>
      <c r="C176" s="5">
        <v>3</v>
      </c>
      <c r="D176" s="5" t="str">
        <f t="shared" si="2"/>
        <v>12,2015-2020,3</v>
      </c>
      <c r="E176" s="6">
        <v>0.25600000000000001</v>
      </c>
      <c r="F176" s="6">
        <v>53.6</v>
      </c>
      <c r="G176" s="6">
        <v>0.30399999999999999</v>
      </c>
      <c r="H176" s="6">
        <v>3</v>
      </c>
      <c r="I176" s="6">
        <v>4.0999999999999996</v>
      </c>
      <c r="J176" s="6">
        <v>-79.7</v>
      </c>
      <c r="K176" s="6">
        <v>5.1999999999999998E-2</v>
      </c>
      <c r="L176" s="6">
        <v>5.84</v>
      </c>
      <c r="M176" s="6">
        <v>-16.2</v>
      </c>
      <c r="N176" s="6">
        <v>4</v>
      </c>
      <c r="O176" s="6">
        <v>0.49399999999999999</v>
      </c>
      <c r="P176" s="6">
        <v>-3.7</v>
      </c>
      <c r="Q176" s="6">
        <v>0.31900000000000001</v>
      </c>
      <c r="R176" s="6">
        <v>2.4300000000000002</v>
      </c>
      <c r="S176" s="6">
        <v>4.24</v>
      </c>
      <c r="T176" s="6">
        <v>1.93</v>
      </c>
      <c r="U176" s="6">
        <v>3.3599999999999998E-2</v>
      </c>
      <c r="V176" s="6">
        <v>2.8</v>
      </c>
      <c r="W176" s="6">
        <v>0.219</v>
      </c>
    </row>
    <row r="177" spans="1:23" x14ac:dyDescent="0.3">
      <c r="A177" s="7">
        <v>12</v>
      </c>
      <c r="B177" s="8" t="s">
        <v>131</v>
      </c>
      <c r="C177" s="8">
        <v>3</v>
      </c>
      <c r="D177" s="8" t="str">
        <f t="shared" si="2"/>
        <v>12,2020-,3</v>
      </c>
      <c r="E177" s="9">
        <v>0.25600000000000001</v>
      </c>
      <c r="F177" s="9">
        <v>53.6</v>
      </c>
      <c r="G177" s="9">
        <v>0.30399999999999999</v>
      </c>
      <c r="H177" s="9">
        <v>3.1</v>
      </c>
      <c r="I177" s="9">
        <v>3.4</v>
      </c>
      <c r="J177" s="9">
        <v>111.4</v>
      </c>
      <c r="K177" s="9">
        <v>5.1999999999999998E-2</v>
      </c>
      <c r="L177" s="9">
        <v>6.71</v>
      </c>
      <c r="M177" s="9">
        <v>-24.8</v>
      </c>
      <c r="N177" s="9">
        <v>3.98</v>
      </c>
      <c r="O177" s="9">
        <v>-2.6922999999999999</v>
      </c>
      <c r="P177" s="9">
        <v>839.5</v>
      </c>
      <c r="Q177" s="9">
        <v>0.32700000000000001</v>
      </c>
      <c r="R177" s="9">
        <v>2.79</v>
      </c>
      <c r="S177" s="9">
        <v>-17.399999999999999</v>
      </c>
      <c r="T177" s="9">
        <v>2.13</v>
      </c>
      <c r="U177" s="9">
        <v>2.6599999999999999E-2</v>
      </c>
      <c r="V177" s="9">
        <v>4.3</v>
      </c>
      <c r="W177" s="9">
        <v>0.219</v>
      </c>
    </row>
    <row r="178" spans="1:23" x14ac:dyDescent="0.3">
      <c r="A178" s="4">
        <v>162</v>
      </c>
      <c r="B178" s="5">
        <v>-1920</v>
      </c>
      <c r="C178" s="5">
        <v>1</v>
      </c>
      <c r="D178" s="5" t="str">
        <f t="shared" si="2"/>
        <v>162,-1920,1</v>
      </c>
      <c r="E178" s="6">
        <v>0.94</v>
      </c>
      <c r="F178" s="6">
        <v>0</v>
      </c>
      <c r="G178" s="6">
        <v>0.59399999999999997</v>
      </c>
      <c r="H178" s="6">
        <v>2.4</v>
      </c>
      <c r="I178" s="6">
        <v>0.4</v>
      </c>
      <c r="J178" s="6">
        <v>225.1</v>
      </c>
      <c r="K178" s="6">
        <v>0</v>
      </c>
      <c r="L178" s="6">
        <v>6.12</v>
      </c>
      <c r="M178" s="6">
        <v>-10.4</v>
      </c>
      <c r="N178" s="6">
        <v>3.96</v>
      </c>
      <c r="O178" s="6">
        <v>0</v>
      </c>
      <c r="P178" s="6">
        <v>0</v>
      </c>
      <c r="Q178" s="6">
        <v>0</v>
      </c>
      <c r="R178" s="6">
        <v>10.1</v>
      </c>
      <c r="S178" s="6">
        <v>-241</v>
      </c>
      <c r="T178" s="6">
        <v>1.33</v>
      </c>
      <c r="U178" s="6">
        <v>3.7000000000000002E-3</v>
      </c>
      <c r="V178" s="6">
        <v>4.7</v>
      </c>
      <c r="W178" s="6">
        <v>0.06</v>
      </c>
    </row>
    <row r="179" spans="1:23" x14ac:dyDescent="0.3">
      <c r="A179" s="7">
        <v>162</v>
      </c>
      <c r="B179" s="8" t="s">
        <v>111</v>
      </c>
      <c r="C179" s="8">
        <v>1</v>
      </c>
      <c r="D179" s="8" t="str">
        <f t="shared" si="2"/>
        <v>162,1920-1925,1</v>
      </c>
      <c r="E179" s="9">
        <v>0.94</v>
      </c>
      <c r="F179" s="9">
        <v>0</v>
      </c>
      <c r="G179" s="9">
        <v>0.59399999999999997</v>
      </c>
      <c r="H179" s="9">
        <v>2.4</v>
      </c>
      <c r="I179" s="9">
        <v>0.8</v>
      </c>
      <c r="J179" s="9">
        <v>218.6</v>
      </c>
      <c r="K179" s="9">
        <v>0</v>
      </c>
      <c r="L179" s="9">
        <v>5.65</v>
      </c>
      <c r="M179" s="9">
        <v>-10.4</v>
      </c>
      <c r="N179" s="9">
        <v>4</v>
      </c>
      <c r="O179" s="9">
        <v>0</v>
      </c>
      <c r="P179" s="9">
        <v>0</v>
      </c>
      <c r="Q179" s="9">
        <v>0</v>
      </c>
      <c r="R179" s="9">
        <v>2.52</v>
      </c>
      <c r="S179" s="9">
        <v>-10.3</v>
      </c>
      <c r="T179" s="9">
        <v>1.77</v>
      </c>
      <c r="U179" s="9">
        <v>3.7000000000000002E-3</v>
      </c>
      <c r="V179" s="9">
        <v>4.7</v>
      </c>
      <c r="W179" s="9">
        <v>0.06</v>
      </c>
    </row>
    <row r="180" spans="1:23" x14ac:dyDescent="0.3">
      <c r="A180" s="4">
        <v>162</v>
      </c>
      <c r="B180" s="5" t="s">
        <v>112</v>
      </c>
      <c r="C180" s="5">
        <v>1</v>
      </c>
      <c r="D180" s="5" t="str">
        <f t="shared" si="2"/>
        <v>162,1925-1930,1</v>
      </c>
      <c r="E180" s="6">
        <v>0.94</v>
      </c>
      <c r="F180" s="6">
        <v>0</v>
      </c>
      <c r="G180" s="6">
        <v>0.59399999999999997</v>
      </c>
      <c r="H180" s="6">
        <v>2.5</v>
      </c>
      <c r="I180" s="6">
        <v>0.4</v>
      </c>
      <c r="J180" s="6">
        <v>229.2</v>
      </c>
      <c r="K180" s="6">
        <v>0</v>
      </c>
      <c r="L180" s="6">
        <v>5.16</v>
      </c>
      <c r="M180" s="6">
        <v>-7.24</v>
      </c>
      <c r="N180" s="6">
        <v>3.98</v>
      </c>
      <c r="O180" s="6">
        <v>0</v>
      </c>
      <c r="P180" s="6">
        <v>0</v>
      </c>
      <c r="Q180" s="6">
        <v>0</v>
      </c>
      <c r="R180" s="6">
        <v>4.63</v>
      </c>
      <c r="S180" s="6">
        <v>-22.8</v>
      </c>
      <c r="T180" s="6">
        <v>2.04</v>
      </c>
      <c r="U180" s="6">
        <v>3.7000000000000002E-3</v>
      </c>
      <c r="V180" s="6">
        <v>4.7</v>
      </c>
      <c r="W180" s="6">
        <v>0.06</v>
      </c>
    </row>
    <row r="181" spans="1:23" x14ac:dyDescent="0.3">
      <c r="A181" s="7">
        <v>162</v>
      </c>
      <c r="B181" s="8" t="s">
        <v>113</v>
      </c>
      <c r="C181" s="8">
        <v>1</v>
      </c>
      <c r="D181" s="8" t="str">
        <f t="shared" si="2"/>
        <v>162,1930-1935,1</v>
      </c>
      <c r="E181" s="9">
        <v>0.94</v>
      </c>
      <c r="F181" s="9">
        <v>0</v>
      </c>
      <c r="G181" s="9">
        <v>0.59399999999999997</v>
      </c>
      <c r="H181" s="9">
        <v>2.5</v>
      </c>
      <c r="I181" s="9">
        <v>3</v>
      </c>
      <c r="J181" s="9">
        <v>5.0999999999999996</v>
      </c>
      <c r="K181" s="9">
        <v>0</v>
      </c>
      <c r="L181" s="9">
        <v>5.12</v>
      </c>
      <c r="M181" s="9">
        <v>-6.39</v>
      </c>
      <c r="N181" s="9">
        <v>3.98</v>
      </c>
      <c r="O181" s="9">
        <v>0</v>
      </c>
      <c r="P181" s="9">
        <v>0</v>
      </c>
      <c r="Q181" s="9">
        <v>0</v>
      </c>
      <c r="R181" s="9">
        <v>2.5499999999999998</v>
      </c>
      <c r="S181" s="9">
        <v>-16.3</v>
      </c>
      <c r="T181" s="9">
        <v>1.68</v>
      </c>
      <c r="U181" s="9">
        <v>3.7000000000000002E-3</v>
      </c>
      <c r="V181" s="9">
        <v>4.7</v>
      </c>
      <c r="W181" s="9">
        <v>0.06</v>
      </c>
    </row>
    <row r="182" spans="1:23" x14ac:dyDescent="0.3">
      <c r="A182" s="4">
        <v>162</v>
      </c>
      <c r="B182" s="5" t="s">
        <v>114</v>
      </c>
      <c r="C182" s="5">
        <v>1</v>
      </c>
      <c r="D182" s="5" t="str">
        <f t="shared" si="2"/>
        <v>162,1935-1940,1</v>
      </c>
      <c r="E182" s="6">
        <v>0.94</v>
      </c>
      <c r="F182" s="6">
        <v>0</v>
      </c>
      <c r="G182" s="6">
        <v>0.59399999999999997</v>
      </c>
      <c r="H182" s="6">
        <v>2.2999999999999998</v>
      </c>
      <c r="I182" s="6">
        <v>3</v>
      </c>
      <c r="J182" s="6">
        <v>1.2</v>
      </c>
      <c r="K182" s="6">
        <v>0</v>
      </c>
      <c r="L182" s="6">
        <v>5.46</v>
      </c>
      <c r="M182" s="6">
        <v>-13.5</v>
      </c>
      <c r="N182" s="6">
        <v>4.12</v>
      </c>
      <c r="O182" s="6">
        <v>0</v>
      </c>
      <c r="P182" s="6">
        <v>0</v>
      </c>
      <c r="Q182" s="6">
        <v>0</v>
      </c>
      <c r="R182" s="6">
        <v>7.1</v>
      </c>
      <c r="S182" s="6">
        <v>-451</v>
      </c>
      <c r="T182" s="6">
        <v>2.0099999999999998</v>
      </c>
      <c r="U182" s="6">
        <v>3.7000000000000002E-3</v>
      </c>
      <c r="V182" s="6">
        <v>4.7</v>
      </c>
      <c r="W182" s="6">
        <v>0.06</v>
      </c>
    </row>
    <row r="183" spans="1:23" x14ac:dyDescent="0.3">
      <c r="A183" s="7">
        <v>162</v>
      </c>
      <c r="B183" s="8" t="s">
        <v>115</v>
      </c>
      <c r="C183" s="8">
        <v>1</v>
      </c>
      <c r="D183" s="8" t="str">
        <f t="shared" si="2"/>
        <v>162,1940-1945,1</v>
      </c>
      <c r="E183" s="9">
        <v>0.94</v>
      </c>
      <c r="F183" s="9">
        <v>0</v>
      </c>
      <c r="G183" s="9">
        <v>0.59399999999999997</v>
      </c>
      <c r="H183" s="9">
        <v>2.4</v>
      </c>
      <c r="I183" s="9">
        <v>2.6</v>
      </c>
      <c r="J183" s="9">
        <v>44.3</v>
      </c>
      <c r="K183" s="9">
        <v>0</v>
      </c>
      <c r="L183" s="9">
        <v>6.3</v>
      </c>
      <c r="M183" s="9">
        <v>-23.1</v>
      </c>
      <c r="N183" s="9">
        <v>3.96</v>
      </c>
      <c r="O183" s="9">
        <v>0</v>
      </c>
      <c r="P183" s="9">
        <v>0</v>
      </c>
      <c r="Q183" s="9">
        <v>0</v>
      </c>
      <c r="R183" s="9">
        <v>2.71</v>
      </c>
      <c r="S183" s="9">
        <v>-22.7</v>
      </c>
      <c r="T183" s="9">
        <v>2.15</v>
      </c>
      <c r="U183" s="9">
        <v>3.7000000000000002E-3</v>
      </c>
      <c r="V183" s="9">
        <v>4.7</v>
      </c>
      <c r="W183" s="9">
        <v>0.06</v>
      </c>
    </row>
    <row r="184" spans="1:23" x14ac:dyDescent="0.3">
      <c r="A184" s="4">
        <v>162</v>
      </c>
      <c r="B184" s="5" t="s">
        <v>116</v>
      </c>
      <c r="C184" s="5">
        <v>1</v>
      </c>
      <c r="D184" s="5" t="str">
        <f t="shared" si="2"/>
        <v>162,1945-1950,1</v>
      </c>
      <c r="E184" s="6">
        <v>0.94</v>
      </c>
      <c r="F184" s="6">
        <v>0</v>
      </c>
      <c r="G184" s="6">
        <v>0.59399999999999997</v>
      </c>
      <c r="H184" s="6">
        <v>2.5</v>
      </c>
      <c r="I184" s="6">
        <v>2.6</v>
      </c>
      <c r="J184" s="6">
        <v>36.799999999999997</v>
      </c>
      <c r="K184" s="6">
        <v>0</v>
      </c>
      <c r="L184" s="6">
        <v>4.3899999999999997</v>
      </c>
      <c r="M184" s="6">
        <v>-2.1800000000000002</v>
      </c>
      <c r="N184" s="6">
        <v>4.1100000000000003</v>
      </c>
      <c r="O184" s="6">
        <v>0</v>
      </c>
      <c r="P184" s="6">
        <v>0</v>
      </c>
      <c r="Q184" s="6">
        <v>0</v>
      </c>
      <c r="R184" s="6">
        <v>5.1100000000000003</v>
      </c>
      <c r="S184" s="6">
        <v>-95</v>
      </c>
      <c r="T184" s="6">
        <v>1.63</v>
      </c>
      <c r="U184" s="6">
        <v>3.7000000000000002E-3</v>
      </c>
      <c r="V184" s="6">
        <v>4.7</v>
      </c>
      <c r="W184" s="6">
        <v>0.06</v>
      </c>
    </row>
    <row r="185" spans="1:23" x14ac:dyDescent="0.3">
      <c r="A185" s="7">
        <v>162</v>
      </c>
      <c r="B185" s="8" t="s">
        <v>117</v>
      </c>
      <c r="C185" s="8">
        <v>1</v>
      </c>
      <c r="D185" s="8" t="str">
        <f t="shared" si="2"/>
        <v>162,1950-1955,1</v>
      </c>
      <c r="E185" s="9">
        <v>0.94</v>
      </c>
      <c r="F185" s="9">
        <v>0</v>
      </c>
      <c r="G185" s="9">
        <v>0.59399999999999997</v>
      </c>
      <c r="H185" s="9">
        <v>2.2999999999999998</v>
      </c>
      <c r="I185" s="9">
        <v>0.9</v>
      </c>
      <c r="J185" s="9">
        <v>195.8</v>
      </c>
      <c r="K185" s="9">
        <v>0</v>
      </c>
      <c r="L185" s="9">
        <v>4.74</v>
      </c>
      <c r="M185" s="9">
        <v>-3.66</v>
      </c>
      <c r="N185" s="9">
        <v>3.99</v>
      </c>
      <c r="O185" s="9">
        <v>0</v>
      </c>
      <c r="P185" s="9">
        <v>0</v>
      </c>
      <c r="Q185" s="9">
        <v>0</v>
      </c>
      <c r="R185" s="9">
        <v>3.08</v>
      </c>
      <c r="S185" s="9">
        <v>18</v>
      </c>
      <c r="T185" s="9">
        <v>1.52</v>
      </c>
      <c r="U185" s="9">
        <v>3.7000000000000002E-3</v>
      </c>
      <c r="V185" s="9">
        <v>4.7</v>
      </c>
      <c r="W185" s="9">
        <v>0.06</v>
      </c>
    </row>
    <row r="186" spans="1:23" x14ac:dyDescent="0.3">
      <c r="A186" s="4">
        <v>162</v>
      </c>
      <c r="B186" s="5" t="s">
        <v>118</v>
      </c>
      <c r="C186" s="5">
        <v>1</v>
      </c>
      <c r="D186" s="5" t="str">
        <f t="shared" si="2"/>
        <v>162,1955-1960,1</v>
      </c>
      <c r="E186" s="6">
        <v>0.94</v>
      </c>
      <c r="F186" s="6">
        <v>0</v>
      </c>
      <c r="G186" s="6">
        <v>0.59399999999999997</v>
      </c>
      <c r="H186" s="6">
        <v>2</v>
      </c>
      <c r="I186" s="6">
        <v>0.3</v>
      </c>
      <c r="J186" s="6">
        <v>290.7</v>
      </c>
      <c r="K186" s="6">
        <v>0</v>
      </c>
      <c r="L186" s="6">
        <v>6.62</v>
      </c>
      <c r="M186" s="6">
        <v>-24.1</v>
      </c>
      <c r="N186" s="6">
        <v>4.0199999999999996</v>
      </c>
      <c r="O186" s="6">
        <v>0</v>
      </c>
      <c r="P186" s="6">
        <v>0</v>
      </c>
      <c r="Q186" s="6">
        <v>0</v>
      </c>
      <c r="R186" s="6">
        <v>4.28</v>
      </c>
      <c r="S186" s="6">
        <v>-181</v>
      </c>
      <c r="T186" s="6">
        <v>2.0099999999999998</v>
      </c>
      <c r="U186" s="6">
        <v>3.7000000000000002E-3</v>
      </c>
      <c r="V186" s="6">
        <v>4.7</v>
      </c>
      <c r="W186" s="6">
        <v>0.06</v>
      </c>
    </row>
    <row r="187" spans="1:23" x14ac:dyDescent="0.3">
      <c r="A187" s="7">
        <v>162</v>
      </c>
      <c r="B187" s="8" t="s">
        <v>119</v>
      </c>
      <c r="C187" s="8">
        <v>1</v>
      </c>
      <c r="D187" s="8" t="str">
        <f t="shared" si="2"/>
        <v>162,1960-1965,1</v>
      </c>
      <c r="E187" s="9">
        <v>0.94</v>
      </c>
      <c r="F187" s="9">
        <v>0</v>
      </c>
      <c r="G187" s="9">
        <v>0.59399999999999997</v>
      </c>
      <c r="H187" s="9">
        <v>2.1</v>
      </c>
      <c r="I187" s="9">
        <v>0.9</v>
      </c>
      <c r="J187" s="9">
        <v>210.4</v>
      </c>
      <c r="K187" s="9">
        <v>0</v>
      </c>
      <c r="L187" s="9">
        <v>5.57</v>
      </c>
      <c r="M187" s="9">
        <v>-9.41</v>
      </c>
      <c r="N187" s="9">
        <v>4.0599999999999996</v>
      </c>
      <c r="O187" s="9">
        <v>0</v>
      </c>
      <c r="P187" s="9">
        <v>0</v>
      </c>
      <c r="Q187" s="9">
        <v>0</v>
      </c>
      <c r="R187" s="9">
        <v>3.46</v>
      </c>
      <c r="S187" s="9">
        <v>-101</v>
      </c>
      <c r="T187" s="9">
        <v>1.68</v>
      </c>
      <c r="U187" s="9">
        <v>3.7000000000000002E-3</v>
      </c>
      <c r="V187" s="9">
        <v>4.7</v>
      </c>
      <c r="W187" s="9">
        <v>0.06</v>
      </c>
    </row>
    <row r="188" spans="1:23" x14ac:dyDescent="0.3">
      <c r="A188" s="4">
        <v>162</v>
      </c>
      <c r="B188" s="5" t="s">
        <v>120</v>
      </c>
      <c r="C188" s="5">
        <v>1</v>
      </c>
      <c r="D188" s="5" t="str">
        <f t="shared" si="2"/>
        <v>162,1965-1970,1</v>
      </c>
      <c r="E188" s="6">
        <v>0.94</v>
      </c>
      <c r="F188" s="6">
        <v>0</v>
      </c>
      <c r="G188" s="6">
        <v>0.59399999999999997</v>
      </c>
      <c r="H188" s="6">
        <v>1.1000000000000001</v>
      </c>
      <c r="I188" s="6">
        <v>0.1</v>
      </c>
      <c r="J188" s="6">
        <v>330.6</v>
      </c>
      <c r="K188" s="6">
        <v>0</v>
      </c>
      <c r="L188" s="6">
        <v>5.35</v>
      </c>
      <c r="M188" s="6">
        <v>-5.92</v>
      </c>
      <c r="N188" s="6">
        <v>3.98</v>
      </c>
      <c r="O188" s="6">
        <v>0</v>
      </c>
      <c r="P188" s="6">
        <v>0</v>
      </c>
      <c r="Q188" s="6">
        <v>0</v>
      </c>
      <c r="R188" s="6">
        <v>3.5</v>
      </c>
      <c r="S188" s="6">
        <v>-124</v>
      </c>
      <c r="T188" s="6">
        <v>1.7</v>
      </c>
      <c r="U188" s="6">
        <v>3.7000000000000002E-3</v>
      </c>
      <c r="V188" s="6">
        <v>4.7</v>
      </c>
      <c r="W188" s="6">
        <v>0.06</v>
      </c>
    </row>
    <row r="189" spans="1:23" x14ac:dyDescent="0.3">
      <c r="A189" s="7">
        <v>162</v>
      </c>
      <c r="B189" s="8" t="s">
        <v>121</v>
      </c>
      <c r="C189" s="8">
        <v>1</v>
      </c>
      <c r="D189" s="8" t="str">
        <f t="shared" si="2"/>
        <v>162,1970-1975,1</v>
      </c>
      <c r="E189" s="9">
        <v>0.94</v>
      </c>
      <c r="F189" s="9">
        <v>0</v>
      </c>
      <c r="G189" s="9">
        <v>0.59399999999999997</v>
      </c>
      <c r="H189" s="9">
        <v>2</v>
      </c>
      <c r="I189" s="9">
        <v>0.1</v>
      </c>
      <c r="J189" s="9">
        <v>320</v>
      </c>
      <c r="K189" s="9">
        <v>0</v>
      </c>
      <c r="L189" s="9">
        <v>4.9000000000000004</v>
      </c>
      <c r="M189" s="9">
        <v>4.7199999999999999E-2</v>
      </c>
      <c r="N189" s="9">
        <v>4</v>
      </c>
      <c r="O189" s="9">
        <v>0</v>
      </c>
      <c r="P189" s="9">
        <v>0</v>
      </c>
      <c r="Q189" s="9">
        <v>0</v>
      </c>
      <c r="R189" s="9">
        <v>3.39</v>
      </c>
      <c r="S189" s="9">
        <v>-67.3</v>
      </c>
      <c r="T189" s="9">
        <v>1.68</v>
      </c>
      <c r="U189" s="9">
        <v>3.7000000000000002E-3</v>
      </c>
      <c r="V189" s="9">
        <v>4.7</v>
      </c>
      <c r="W189" s="9">
        <v>0.06</v>
      </c>
    </row>
    <row r="190" spans="1:23" x14ac:dyDescent="0.3">
      <c r="A190" s="4">
        <v>162</v>
      </c>
      <c r="B190" s="5" t="s">
        <v>122</v>
      </c>
      <c r="C190" s="5">
        <v>1</v>
      </c>
      <c r="D190" s="5" t="str">
        <f t="shared" si="2"/>
        <v>162,1975-1980,1</v>
      </c>
      <c r="E190" s="6">
        <v>0.94</v>
      </c>
      <c r="F190" s="6">
        <v>0</v>
      </c>
      <c r="G190" s="6">
        <v>0.59399999999999997</v>
      </c>
      <c r="H190" s="6">
        <v>1.3</v>
      </c>
      <c r="I190" s="6">
        <v>1.6</v>
      </c>
      <c r="J190" s="6">
        <v>130.9</v>
      </c>
      <c r="K190" s="6">
        <v>0</v>
      </c>
      <c r="L190" s="6">
        <v>5.37</v>
      </c>
      <c r="M190" s="6">
        <v>-9.1300000000000008</v>
      </c>
      <c r="N190" s="6">
        <v>4</v>
      </c>
      <c r="O190" s="6">
        <v>0</v>
      </c>
      <c r="P190" s="6">
        <v>0</v>
      </c>
      <c r="Q190" s="6">
        <v>0</v>
      </c>
      <c r="R190" s="6">
        <v>3.54</v>
      </c>
      <c r="S190" s="6">
        <v>-65.8</v>
      </c>
      <c r="T190" s="6">
        <v>1.63</v>
      </c>
      <c r="U190" s="6">
        <v>3.7000000000000002E-3</v>
      </c>
      <c r="V190" s="6">
        <v>4.7</v>
      </c>
      <c r="W190" s="6">
        <v>0.06</v>
      </c>
    </row>
    <row r="191" spans="1:23" x14ac:dyDescent="0.3">
      <c r="A191" s="7">
        <v>162</v>
      </c>
      <c r="B191" s="8" t="s">
        <v>123</v>
      </c>
      <c r="C191" s="8">
        <v>1</v>
      </c>
      <c r="D191" s="8" t="str">
        <f t="shared" si="2"/>
        <v>162,1980-1985,1</v>
      </c>
      <c r="E191" s="9">
        <v>0.94</v>
      </c>
      <c r="F191" s="9">
        <v>0</v>
      </c>
      <c r="G191" s="9">
        <v>0.59399999999999997</v>
      </c>
      <c r="H191" s="9">
        <v>2</v>
      </c>
      <c r="I191" s="9">
        <v>1.2</v>
      </c>
      <c r="J191" s="9">
        <v>153</v>
      </c>
      <c r="K191" s="9">
        <v>0</v>
      </c>
      <c r="L191" s="9">
        <v>5.37</v>
      </c>
      <c r="M191" s="9">
        <v>-7.54</v>
      </c>
      <c r="N191" s="9">
        <v>4.01</v>
      </c>
      <c r="O191" s="9">
        <v>0</v>
      </c>
      <c r="P191" s="9">
        <v>0</v>
      </c>
      <c r="Q191" s="9">
        <v>0</v>
      </c>
      <c r="R191" s="9">
        <v>4.66</v>
      </c>
      <c r="S191" s="9">
        <v>-132</v>
      </c>
      <c r="T191" s="9">
        <v>1.62</v>
      </c>
      <c r="U191" s="9">
        <v>3.7000000000000002E-3</v>
      </c>
      <c r="V191" s="9">
        <v>4.7</v>
      </c>
      <c r="W191" s="9">
        <v>0.06</v>
      </c>
    </row>
    <row r="192" spans="1:23" x14ac:dyDescent="0.3">
      <c r="A192" s="4">
        <v>162</v>
      </c>
      <c r="B192" s="5" t="s">
        <v>124</v>
      </c>
      <c r="C192" s="5">
        <v>1</v>
      </c>
      <c r="D192" s="5" t="str">
        <f t="shared" si="2"/>
        <v>162,1985-1990,1</v>
      </c>
      <c r="E192" s="6">
        <v>0.94</v>
      </c>
      <c r="F192" s="6">
        <v>0</v>
      </c>
      <c r="G192" s="6">
        <v>0.59399999999999997</v>
      </c>
      <c r="H192" s="6">
        <v>2.1</v>
      </c>
      <c r="I192" s="6">
        <v>2.8</v>
      </c>
      <c r="J192" s="6">
        <v>8.1</v>
      </c>
      <c r="K192" s="6">
        <v>0</v>
      </c>
      <c r="L192" s="6">
        <v>5.2</v>
      </c>
      <c r="M192" s="6">
        <v>-6.44</v>
      </c>
      <c r="N192" s="6">
        <v>4</v>
      </c>
      <c r="O192" s="6">
        <v>0</v>
      </c>
      <c r="P192" s="6">
        <v>0</v>
      </c>
      <c r="Q192" s="6">
        <v>0</v>
      </c>
      <c r="R192" s="6">
        <v>4.91</v>
      </c>
      <c r="S192" s="6">
        <v>-118</v>
      </c>
      <c r="T192" s="6">
        <v>1.62</v>
      </c>
      <c r="U192" s="6">
        <v>3.7000000000000002E-3</v>
      </c>
      <c r="V192" s="6">
        <v>4.7</v>
      </c>
      <c r="W192" s="6">
        <v>0.06</v>
      </c>
    </row>
    <row r="193" spans="1:23" x14ac:dyDescent="0.3">
      <c r="A193" s="7">
        <v>162</v>
      </c>
      <c r="B193" s="8" t="s">
        <v>125</v>
      </c>
      <c r="C193" s="8">
        <v>1</v>
      </c>
      <c r="D193" s="8" t="str">
        <f t="shared" si="2"/>
        <v>162,1990-1995,1</v>
      </c>
      <c r="E193" s="9">
        <v>0.94</v>
      </c>
      <c r="F193" s="9">
        <v>0</v>
      </c>
      <c r="G193" s="9">
        <v>0.59399999999999997</v>
      </c>
      <c r="H193" s="9">
        <v>2.2000000000000002</v>
      </c>
      <c r="I193" s="9">
        <v>3.1</v>
      </c>
      <c r="J193" s="9">
        <v>-7</v>
      </c>
      <c r="K193" s="9">
        <v>0</v>
      </c>
      <c r="L193" s="9">
        <v>5.91</v>
      </c>
      <c r="M193" s="9">
        <v>-11.8</v>
      </c>
      <c r="N193" s="9">
        <v>4</v>
      </c>
      <c r="O193" s="9">
        <v>0</v>
      </c>
      <c r="P193" s="9">
        <v>0</v>
      </c>
      <c r="Q193" s="9">
        <v>0</v>
      </c>
      <c r="R193" s="9">
        <v>2.98</v>
      </c>
      <c r="S193" s="9">
        <v>-22.3</v>
      </c>
      <c r="T193" s="9">
        <v>1.61</v>
      </c>
      <c r="U193" s="9">
        <v>3.7000000000000002E-3</v>
      </c>
      <c r="V193" s="9">
        <v>4.7</v>
      </c>
      <c r="W193" s="9">
        <v>0.06</v>
      </c>
    </row>
    <row r="194" spans="1:23" x14ac:dyDescent="0.3">
      <c r="A194" s="4">
        <v>162</v>
      </c>
      <c r="B194" s="5" t="s">
        <v>126</v>
      </c>
      <c r="C194" s="5">
        <v>1</v>
      </c>
      <c r="D194" s="5" t="str">
        <f t="shared" si="2"/>
        <v>162,1995-2000,1</v>
      </c>
      <c r="E194" s="6">
        <v>0.94</v>
      </c>
      <c r="F194" s="6">
        <v>0</v>
      </c>
      <c r="G194" s="6">
        <v>0.59399999999999997</v>
      </c>
      <c r="H194" s="6">
        <v>2.2999999999999998</v>
      </c>
      <c r="I194" s="6">
        <v>3.3</v>
      </c>
      <c r="J194" s="6">
        <v>-15.7</v>
      </c>
      <c r="K194" s="6">
        <v>0</v>
      </c>
      <c r="L194" s="6">
        <v>4.9000000000000004</v>
      </c>
      <c r="M194" s="6">
        <v>-2.71</v>
      </c>
      <c r="N194" s="6">
        <v>4</v>
      </c>
      <c r="O194" s="6">
        <v>0</v>
      </c>
      <c r="P194" s="6">
        <v>0</v>
      </c>
      <c r="Q194" s="6">
        <v>0</v>
      </c>
      <c r="R194" s="6">
        <v>5.23</v>
      </c>
      <c r="S194" s="6">
        <v>-132</v>
      </c>
      <c r="T194" s="6">
        <v>1.57</v>
      </c>
      <c r="U194" s="6">
        <v>3.7000000000000002E-3</v>
      </c>
      <c r="V194" s="6">
        <v>4.7</v>
      </c>
      <c r="W194" s="6">
        <v>0.06</v>
      </c>
    </row>
    <row r="195" spans="1:23" x14ac:dyDescent="0.3">
      <c r="A195" s="7">
        <v>162</v>
      </c>
      <c r="B195" s="8" t="s">
        <v>127</v>
      </c>
      <c r="C195" s="8">
        <v>1</v>
      </c>
      <c r="D195" s="8" t="str">
        <f t="shared" ref="D195:D258" si="3">CONCATENATE(A195,",",B195,",",C195)</f>
        <v>162,2000-2005,1</v>
      </c>
      <c r="E195" s="9">
        <v>0.94</v>
      </c>
      <c r="F195" s="9">
        <v>0</v>
      </c>
      <c r="G195" s="9">
        <v>0.59399999999999997</v>
      </c>
      <c r="H195" s="9">
        <v>2.2999999999999998</v>
      </c>
      <c r="I195" s="9">
        <v>3.2</v>
      </c>
      <c r="J195" s="9">
        <v>-8</v>
      </c>
      <c r="K195" s="9">
        <v>0</v>
      </c>
      <c r="L195" s="9">
        <v>6.37</v>
      </c>
      <c r="M195" s="9">
        <v>-19.899999999999999</v>
      </c>
      <c r="N195" s="9">
        <v>4</v>
      </c>
      <c r="O195" s="9">
        <v>0</v>
      </c>
      <c r="P195" s="9">
        <v>0</v>
      </c>
      <c r="Q195" s="9">
        <v>0</v>
      </c>
      <c r="R195" s="9">
        <v>5.32</v>
      </c>
      <c r="S195" s="9">
        <v>-141</v>
      </c>
      <c r="T195" s="9">
        <v>1.67</v>
      </c>
      <c r="U195" s="9">
        <v>3.7000000000000002E-3</v>
      </c>
      <c r="V195" s="9">
        <v>4.7</v>
      </c>
      <c r="W195" s="9">
        <v>0.06</v>
      </c>
    </row>
    <row r="196" spans="1:23" x14ac:dyDescent="0.3">
      <c r="A196" s="4">
        <v>162</v>
      </c>
      <c r="B196" s="5" t="s">
        <v>128</v>
      </c>
      <c r="C196" s="5">
        <v>1</v>
      </c>
      <c r="D196" s="5" t="str">
        <f t="shared" si="3"/>
        <v>162,2005-2010,1</v>
      </c>
      <c r="E196" s="6">
        <v>0.94</v>
      </c>
      <c r="F196" s="6">
        <v>0</v>
      </c>
      <c r="G196" s="6">
        <v>0.59399999999999997</v>
      </c>
      <c r="H196" s="6">
        <v>2.2999999999999998</v>
      </c>
      <c r="I196" s="6">
        <v>3.2</v>
      </c>
      <c r="J196" s="6">
        <v>-5.0999999999999996</v>
      </c>
      <c r="K196" s="6">
        <v>0</v>
      </c>
      <c r="L196" s="6">
        <v>6.22</v>
      </c>
      <c r="M196" s="6">
        <v>-18.600000000000001</v>
      </c>
      <c r="N196" s="6">
        <v>3.99</v>
      </c>
      <c r="O196" s="6">
        <v>0</v>
      </c>
      <c r="P196" s="6">
        <v>0</v>
      </c>
      <c r="Q196" s="6">
        <v>0</v>
      </c>
      <c r="R196" s="6">
        <v>5.13</v>
      </c>
      <c r="S196" s="6">
        <v>-126</v>
      </c>
      <c r="T196" s="6">
        <v>1.6</v>
      </c>
      <c r="U196" s="6">
        <v>3.7000000000000002E-3</v>
      </c>
      <c r="V196" s="6">
        <v>4.7</v>
      </c>
      <c r="W196" s="6">
        <v>0.06</v>
      </c>
    </row>
    <row r="197" spans="1:23" x14ac:dyDescent="0.3">
      <c r="A197" s="7">
        <v>162</v>
      </c>
      <c r="B197" s="8" t="s">
        <v>129</v>
      </c>
      <c r="C197" s="8">
        <v>1</v>
      </c>
      <c r="D197" s="8" t="str">
        <f t="shared" si="3"/>
        <v>162,2010-2015,1</v>
      </c>
      <c r="E197" s="9">
        <v>0.94</v>
      </c>
      <c r="F197" s="9">
        <v>0</v>
      </c>
      <c r="G197" s="9">
        <v>0.59399999999999997</v>
      </c>
      <c r="H197" s="9">
        <v>2.4</v>
      </c>
      <c r="I197" s="9">
        <v>3.5</v>
      </c>
      <c r="J197" s="9">
        <v>-13.9</v>
      </c>
      <c r="K197" s="9">
        <v>0</v>
      </c>
      <c r="L197" s="9">
        <v>6.31</v>
      </c>
      <c r="M197" s="9">
        <v>-20.8</v>
      </c>
      <c r="N197" s="9">
        <v>3.96</v>
      </c>
      <c r="O197" s="9">
        <v>0</v>
      </c>
      <c r="P197" s="9">
        <v>0</v>
      </c>
      <c r="Q197" s="9">
        <v>0</v>
      </c>
      <c r="R197" s="9">
        <v>3.76</v>
      </c>
      <c r="S197" s="9">
        <v>-68.900000000000006</v>
      </c>
      <c r="T197" s="9">
        <v>1.53</v>
      </c>
      <c r="U197" s="9">
        <v>3.7000000000000002E-3</v>
      </c>
      <c r="V197" s="9">
        <v>4.7</v>
      </c>
      <c r="W197" s="9">
        <v>0.06</v>
      </c>
    </row>
    <row r="198" spans="1:23" x14ac:dyDescent="0.3">
      <c r="A198" s="4">
        <v>162</v>
      </c>
      <c r="B198" s="5" t="s">
        <v>130</v>
      </c>
      <c r="C198" s="5">
        <v>1</v>
      </c>
      <c r="D198" s="5" t="str">
        <f t="shared" si="3"/>
        <v>162,2015-2020,1</v>
      </c>
      <c r="E198" s="6">
        <v>0.94</v>
      </c>
      <c r="F198" s="6">
        <v>0</v>
      </c>
      <c r="G198" s="6">
        <v>0.59399999999999997</v>
      </c>
      <c r="H198" s="6">
        <v>2.2999999999999998</v>
      </c>
      <c r="I198" s="6">
        <v>3.3</v>
      </c>
      <c r="J198" s="6">
        <v>2.2999999999999998</v>
      </c>
      <c r="K198" s="6">
        <v>0</v>
      </c>
      <c r="L198" s="6">
        <v>5.2</v>
      </c>
      <c r="M198" s="6">
        <v>-9.98</v>
      </c>
      <c r="N198" s="6">
        <v>4</v>
      </c>
      <c r="O198" s="6">
        <v>0</v>
      </c>
      <c r="P198" s="6">
        <v>0</v>
      </c>
      <c r="Q198" s="6">
        <v>0</v>
      </c>
      <c r="R198" s="6">
        <v>6.28</v>
      </c>
      <c r="S198" s="6">
        <v>-199</v>
      </c>
      <c r="T198" s="6">
        <v>1.65</v>
      </c>
      <c r="U198" s="6">
        <v>3.7000000000000002E-3</v>
      </c>
      <c r="V198" s="6">
        <v>4.7</v>
      </c>
      <c r="W198" s="6">
        <v>0.06</v>
      </c>
    </row>
    <row r="199" spans="1:23" x14ac:dyDescent="0.3">
      <c r="A199" s="7">
        <v>162</v>
      </c>
      <c r="B199" s="8" t="s">
        <v>131</v>
      </c>
      <c r="C199" s="8">
        <v>1</v>
      </c>
      <c r="D199" s="8" t="str">
        <f t="shared" si="3"/>
        <v>162,2020-,1</v>
      </c>
      <c r="E199" s="9">
        <v>0.94</v>
      </c>
      <c r="F199" s="9">
        <v>0</v>
      </c>
      <c r="G199" s="9">
        <v>0.59399999999999997</v>
      </c>
      <c r="H199" s="9">
        <v>2</v>
      </c>
      <c r="I199" s="9">
        <v>3.8</v>
      </c>
      <c r="J199" s="9">
        <v>-28.9</v>
      </c>
      <c r="K199" s="9">
        <v>0</v>
      </c>
      <c r="L199" s="9">
        <v>4.5999999999999996</v>
      </c>
      <c r="M199" s="9">
        <v>1.53</v>
      </c>
      <c r="N199" s="9">
        <v>4.0199999999999996</v>
      </c>
      <c r="O199" s="9">
        <v>0</v>
      </c>
      <c r="P199" s="9">
        <v>0</v>
      </c>
      <c r="Q199" s="9">
        <v>0</v>
      </c>
      <c r="R199" s="9">
        <v>5.1100000000000003</v>
      </c>
      <c r="S199" s="9">
        <v>-124</v>
      </c>
      <c r="T199" s="9">
        <v>1.83</v>
      </c>
      <c r="U199" s="9">
        <v>3.7000000000000002E-3</v>
      </c>
      <c r="V199" s="9">
        <v>4.7</v>
      </c>
      <c r="W199" s="9">
        <v>0.06</v>
      </c>
    </row>
    <row r="200" spans="1:23" x14ac:dyDescent="0.3">
      <c r="A200" s="4">
        <v>162</v>
      </c>
      <c r="B200" s="5">
        <v>-1920</v>
      </c>
      <c r="C200" s="5">
        <v>1.5</v>
      </c>
      <c r="D200" s="5" t="str">
        <f t="shared" si="3"/>
        <v>162,-1920,1,5</v>
      </c>
      <c r="E200" s="6">
        <v>0.1</v>
      </c>
      <c r="F200" s="6">
        <v>20</v>
      </c>
      <c r="G200" s="6">
        <v>0.1</v>
      </c>
      <c r="H200" s="6">
        <v>2.8</v>
      </c>
      <c r="I200" s="6">
        <v>2.9</v>
      </c>
      <c r="J200" s="6">
        <v>-1</v>
      </c>
      <c r="K200" s="6">
        <v>0</v>
      </c>
      <c r="L200" s="6">
        <v>6.12</v>
      </c>
      <c r="M200" s="6">
        <v>-10.4</v>
      </c>
      <c r="N200" s="6">
        <v>3.96</v>
      </c>
      <c r="O200" s="6">
        <v>0.3</v>
      </c>
      <c r="P200" s="6">
        <v>-11</v>
      </c>
      <c r="Q200" s="6">
        <v>0.17</v>
      </c>
      <c r="R200" s="6">
        <v>12.8674</v>
      </c>
      <c r="S200" s="6">
        <v>-241</v>
      </c>
      <c r="T200" s="6">
        <v>1.69442</v>
      </c>
      <c r="U200" s="6">
        <v>3.7000000000000002E-3</v>
      </c>
      <c r="V200" s="6">
        <v>4.7</v>
      </c>
      <c r="W200" s="6">
        <v>0.05</v>
      </c>
    </row>
    <row r="201" spans="1:23" x14ac:dyDescent="0.3">
      <c r="A201" s="7">
        <v>162</v>
      </c>
      <c r="B201" s="8" t="s">
        <v>111</v>
      </c>
      <c r="C201" s="8">
        <v>1.5</v>
      </c>
      <c r="D201" s="8" t="str">
        <f t="shared" si="3"/>
        <v>162,1920-1925,1,5</v>
      </c>
      <c r="E201" s="9">
        <v>0.1</v>
      </c>
      <c r="F201" s="9">
        <v>20</v>
      </c>
      <c r="G201" s="9">
        <v>0.1</v>
      </c>
      <c r="H201" s="9">
        <v>2.8</v>
      </c>
      <c r="I201" s="9">
        <v>2.9</v>
      </c>
      <c r="J201" s="9">
        <v>-1</v>
      </c>
      <c r="K201" s="9">
        <v>0</v>
      </c>
      <c r="L201" s="9">
        <v>5.65</v>
      </c>
      <c r="M201" s="9">
        <v>-10.4</v>
      </c>
      <c r="N201" s="9">
        <v>4</v>
      </c>
      <c r="O201" s="9">
        <v>0.3</v>
      </c>
      <c r="P201" s="9">
        <v>-11</v>
      </c>
      <c r="Q201" s="9">
        <v>0.17</v>
      </c>
      <c r="R201" s="9">
        <v>3.21048</v>
      </c>
      <c r="S201" s="9">
        <v>-10.3</v>
      </c>
      <c r="T201" s="9">
        <v>2.2549800000000002</v>
      </c>
      <c r="U201" s="9">
        <v>3.7000000000000002E-3</v>
      </c>
      <c r="V201" s="9">
        <v>4.7</v>
      </c>
      <c r="W201" s="9">
        <v>0.05</v>
      </c>
    </row>
    <row r="202" spans="1:23" x14ac:dyDescent="0.3">
      <c r="A202" s="4">
        <v>162</v>
      </c>
      <c r="B202" s="5" t="s">
        <v>112</v>
      </c>
      <c r="C202" s="5">
        <v>1.5</v>
      </c>
      <c r="D202" s="5" t="str">
        <f t="shared" si="3"/>
        <v>162,1925-1930,1,5</v>
      </c>
      <c r="E202" s="6">
        <v>0.1</v>
      </c>
      <c r="F202" s="6">
        <v>20</v>
      </c>
      <c r="G202" s="6">
        <v>0.1</v>
      </c>
      <c r="H202" s="6">
        <v>2.9</v>
      </c>
      <c r="I202" s="6">
        <v>3</v>
      </c>
      <c r="J202" s="6">
        <v>-1</v>
      </c>
      <c r="K202" s="6">
        <v>0</v>
      </c>
      <c r="L202" s="6">
        <v>5.16</v>
      </c>
      <c r="M202" s="6">
        <v>-7.24</v>
      </c>
      <c r="N202" s="6">
        <v>3.98</v>
      </c>
      <c r="O202" s="6">
        <v>0.3</v>
      </c>
      <c r="P202" s="6">
        <v>-11</v>
      </c>
      <c r="Q202" s="6">
        <v>0.17</v>
      </c>
      <c r="R202" s="6">
        <v>5.8986200000000002</v>
      </c>
      <c r="S202" s="6">
        <v>-22.8</v>
      </c>
      <c r="T202" s="6">
        <v>2.5989599999999999</v>
      </c>
      <c r="U202" s="6">
        <v>3.7000000000000002E-3</v>
      </c>
      <c r="V202" s="6">
        <v>4.7</v>
      </c>
      <c r="W202" s="6">
        <v>0.05</v>
      </c>
    </row>
    <row r="203" spans="1:23" x14ac:dyDescent="0.3">
      <c r="A203" s="7">
        <v>162</v>
      </c>
      <c r="B203" s="8" t="s">
        <v>113</v>
      </c>
      <c r="C203" s="8">
        <v>1.5</v>
      </c>
      <c r="D203" s="8" t="str">
        <f t="shared" si="3"/>
        <v>162,1930-1935,1,5</v>
      </c>
      <c r="E203" s="9">
        <v>0.1</v>
      </c>
      <c r="F203" s="9">
        <v>20</v>
      </c>
      <c r="G203" s="9">
        <v>0.1</v>
      </c>
      <c r="H203" s="9">
        <v>2.9</v>
      </c>
      <c r="I203" s="9">
        <v>3</v>
      </c>
      <c r="J203" s="9">
        <v>-1</v>
      </c>
      <c r="K203" s="9">
        <v>0</v>
      </c>
      <c r="L203" s="9">
        <v>5.12</v>
      </c>
      <c r="M203" s="9">
        <v>-6.39</v>
      </c>
      <c r="N203" s="9">
        <v>3.98</v>
      </c>
      <c r="O203" s="9">
        <v>0.3</v>
      </c>
      <c r="P203" s="9">
        <v>-11</v>
      </c>
      <c r="Q203" s="9">
        <v>0.17</v>
      </c>
      <c r="R203" s="9">
        <v>3.2486999999999999</v>
      </c>
      <c r="S203" s="9">
        <v>-16.3</v>
      </c>
      <c r="T203" s="9">
        <v>2.14032</v>
      </c>
      <c r="U203" s="9">
        <v>3.7000000000000002E-3</v>
      </c>
      <c r="V203" s="9">
        <v>4.7</v>
      </c>
      <c r="W203" s="9">
        <v>0.05</v>
      </c>
    </row>
    <row r="204" spans="1:23" x14ac:dyDescent="0.3">
      <c r="A204" s="4">
        <v>162</v>
      </c>
      <c r="B204" s="5" t="s">
        <v>114</v>
      </c>
      <c r="C204" s="5">
        <v>1.5</v>
      </c>
      <c r="D204" s="5" t="str">
        <f t="shared" si="3"/>
        <v>162,1935-1940,1,5</v>
      </c>
      <c r="E204" s="6">
        <v>0.1</v>
      </c>
      <c r="F204" s="6">
        <v>20</v>
      </c>
      <c r="G204" s="6">
        <v>0.1</v>
      </c>
      <c r="H204" s="6">
        <v>3</v>
      </c>
      <c r="I204" s="6">
        <v>3.1</v>
      </c>
      <c r="J204" s="6">
        <v>-1</v>
      </c>
      <c r="K204" s="6">
        <v>0</v>
      </c>
      <c r="L204" s="6">
        <v>5.46</v>
      </c>
      <c r="M204" s="6">
        <v>-13.5</v>
      </c>
      <c r="N204" s="6">
        <v>4.12</v>
      </c>
      <c r="O204" s="6">
        <v>0.3</v>
      </c>
      <c r="P204" s="6">
        <v>-11</v>
      </c>
      <c r="Q204" s="6">
        <v>0.17</v>
      </c>
      <c r="R204" s="6">
        <v>9.0454000000000008</v>
      </c>
      <c r="S204" s="6">
        <v>-451</v>
      </c>
      <c r="T204" s="6">
        <v>2.56074</v>
      </c>
      <c r="U204" s="6">
        <v>3.7000000000000002E-3</v>
      </c>
      <c r="V204" s="6">
        <v>4.7</v>
      </c>
      <c r="W204" s="6">
        <v>0.05</v>
      </c>
    </row>
    <row r="205" spans="1:23" x14ac:dyDescent="0.3">
      <c r="A205" s="7">
        <v>162</v>
      </c>
      <c r="B205" s="8" t="s">
        <v>115</v>
      </c>
      <c r="C205" s="8">
        <v>1.5</v>
      </c>
      <c r="D205" s="8" t="str">
        <f t="shared" si="3"/>
        <v>162,1940-1945,1,5</v>
      </c>
      <c r="E205" s="9">
        <v>0.1</v>
      </c>
      <c r="F205" s="9">
        <v>20</v>
      </c>
      <c r="G205" s="9">
        <v>0.1</v>
      </c>
      <c r="H205" s="9">
        <v>3</v>
      </c>
      <c r="I205" s="9">
        <v>3.1</v>
      </c>
      <c r="J205" s="9">
        <v>-1</v>
      </c>
      <c r="K205" s="9">
        <v>0</v>
      </c>
      <c r="L205" s="9">
        <v>6.3</v>
      </c>
      <c r="M205" s="9">
        <v>-23.1</v>
      </c>
      <c r="N205" s="9">
        <v>3.96</v>
      </c>
      <c r="O205" s="9">
        <v>0.3</v>
      </c>
      <c r="P205" s="9">
        <v>-11</v>
      </c>
      <c r="Q205" s="9">
        <v>0.17</v>
      </c>
      <c r="R205" s="9">
        <v>3.4525399999999999</v>
      </c>
      <c r="S205" s="9">
        <v>-22.7</v>
      </c>
      <c r="T205" s="9">
        <v>2.7391000000000001</v>
      </c>
      <c r="U205" s="9">
        <v>3.7000000000000002E-3</v>
      </c>
      <c r="V205" s="9">
        <v>4.7</v>
      </c>
      <c r="W205" s="9">
        <v>0.05</v>
      </c>
    </row>
    <row r="206" spans="1:23" x14ac:dyDescent="0.3">
      <c r="A206" s="4">
        <v>162</v>
      </c>
      <c r="B206" s="5" t="s">
        <v>116</v>
      </c>
      <c r="C206" s="5">
        <v>1.5</v>
      </c>
      <c r="D206" s="5" t="str">
        <f t="shared" si="3"/>
        <v>162,1945-1950,1,5</v>
      </c>
      <c r="E206" s="6">
        <v>0.1</v>
      </c>
      <c r="F206" s="6">
        <v>20</v>
      </c>
      <c r="G206" s="6">
        <v>0.1</v>
      </c>
      <c r="H206" s="6">
        <v>3</v>
      </c>
      <c r="I206" s="6">
        <v>3.1</v>
      </c>
      <c r="J206" s="6">
        <v>-1</v>
      </c>
      <c r="K206" s="6">
        <v>0</v>
      </c>
      <c r="L206" s="6">
        <v>4.3899999999999997</v>
      </c>
      <c r="M206" s="6">
        <v>-2.1800000000000002</v>
      </c>
      <c r="N206" s="6">
        <v>4.1100000000000003</v>
      </c>
      <c r="O206" s="6">
        <v>0.3</v>
      </c>
      <c r="P206" s="6">
        <v>-11</v>
      </c>
      <c r="Q206" s="6">
        <v>0.17</v>
      </c>
      <c r="R206" s="6">
        <v>6.5101399999999998</v>
      </c>
      <c r="S206" s="6">
        <v>-95</v>
      </c>
      <c r="T206" s="6">
        <v>2.0766200000000001</v>
      </c>
      <c r="U206" s="6">
        <v>3.7000000000000002E-3</v>
      </c>
      <c r="V206" s="6">
        <v>4.7</v>
      </c>
      <c r="W206" s="6">
        <v>0.05</v>
      </c>
    </row>
    <row r="207" spans="1:23" x14ac:dyDescent="0.3">
      <c r="A207" s="7">
        <v>162</v>
      </c>
      <c r="B207" s="8" t="s">
        <v>117</v>
      </c>
      <c r="C207" s="8">
        <v>1.5</v>
      </c>
      <c r="D207" s="8" t="str">
        <f t="shared" si="3"/>
        <v>162,1950-1955,1,5</v>
      </c>
      <c r="E207" s="9">
        <v>0.1</v>
      </c>
      <c r="F207" s="9">
        <v>20</v>
      </c>
      <c r="G207" s="9">
        <v>0.1</v>
      </c>
      <c r="H207" s="9">
        <v>3</v>
      </c>
      <c r="I207" s="9">
        <v>3.2</v>
      </c>
      <c r="J207" s="9">
        <v>-13.5</v>
      </c>
      <c r="K207" s="9">
        <v>0</v>
      </c>
      <c r="L207" s="9">
        <v>4.74</v>
      </c>
      <c r="M207" s="9">
        <v>-3.66</v>
      </c>
      <c r="N207" s="9">
        <v>3.99</v>
      </c>
      <c r="O207" s="9">
        <v>0.3</v>
      </c>
      <c r="P207" s="9">
        <v>-11</v>
      </c>
      <c r="Q207" s="9">
        <v>0.17</v>
      </c>
      <c r="R207" s="9">
        <v>3.9239199999999999</v>
      </c>
      <c r="S207" s="9">
        <v>18</v>
      </c>
      <c r="T207" s="9">
        <v>1.93648</v>
      </c>
      <c r="U207" s="9">
        <v>3.7000000000000002E-3</v>
      </c>
      <c r="V207" s="9">
        <v>4.7</v>
      </c>
      <c r="W207" s="9">
        <v>0.05</v>
      </c>
    </row>
    <row r="208" spans="1:23" x14ac:dyDescent="0.3">
      <c r="A208" s="4">
        <v>162</v>
      </c>
      <c r="B208" s="5" t="s">
        <v>118</v>
      </c>
      <c r="C208" s="5">
        <v>1.5</v>
      </c>
      <c r="D208" s="5" t="str">
        <f t="shared" si="3"/>
        <v>162,1955-1960,1,5</v>
      </c>
      <c r="E208" s="6">
        <v>0.1</v>
      </c>
      <c r="F208" s="6">
        <v>20</v>
      </c>
      <c r="G208" s="6">
        <v>0.1</v>
      </c>
      <c r="H208" s="6">
        <v>3</v>
      </c>
      <c r="I208" s="6">
        <v>3.3</v>
      </c>
      <c r="J208" s="6">
        <v>-17.3</v>
      </c>
      <c r="K208" s="6">
        <v>0</v>
      </c>
      <c r="L208" s="6">
        <v>6.62</v>
      </c>
      <c r="M208" s="6">
        <v>-24.1</v>
      </c>
      <c r="N208" s="6">
        <v>4.0199999999999996</v>
      </c>
      <c r="O208" s="6">
        <v>0.3</v>
      </c>
      <c r="P208" s="6">
        <v>-11</v>
      </c>
      <c r="Q208" s="6">
        <v>0.17</v>
      </c>
      <c r="R208" s="6">
        <v>5.4527200000000002</v>
      </c>
      <c r="S208" s="6">
        <v>-181</v>
      </c>
      <c r="T208" s="6">
        <v>2.56074</v>
      </c>
      <c r="U208" s="6">
        <v>3.7000000000000002E-3</v>
      </c>
      <c r="V208" s="6">
        <v>4.7</v>
      </c>
      <c r="W208" s="6">
        <v>0.05</v>
      </c>
    </row>
    <row r="209" spans="1:23" x14ac:dyDescent="0.3">
      <c r="A209" s="7">
        <v>162</v>
      </c>
      <c r="B209" s="8" t="s">
        <v>119</v>
      </c>
      <c r="C209" s="8">
        <v>1.5</v>
      </c>
      <c r="D209" s="8" t="str">
        <f t="shared" si="3"/>
        <v>162,1960-1965,1,5</v>
      </c>
      <c r="E209" s="9">
        <v>0.1</v>
      </c>
      <c r="F209" s="9">
        <v>20</v>
      </c>
      <c r="G209" s="9">
        <v>0.1</v>
      </c>
      <c r="H209" s="9">
        <v>3</v>
      </c>
      <c r="I209" s="9">
        <v>3.3</v>
      </c>
      <c r="J209" s="9">
        <v>-17.3</v>
      </c>
      <c r="K209" s="9">
        <v>0</v>
      </c>
      <c r="L209" s="9">
        <v>5.57</v>
      </c>
      <c r="M209" s="9">
        <v>-9.41</v>
      </c>
      <c r="N209" s="9">
        <v>4.0599999999999996</v>
      </c>
      <c r="O209" s="9">
        <v>0.3</v>
      </c>
      <c r="P209" s="9">
        <v>-11</v>
      </c>
      <c r="Q209" s="9">
        <v>0.17</v>
      </c>
      <c r="R209" s="9">
        <v>4.4080399999999997</v>
      </c>
      <c r="S209" s="9">
        <v>-101</v>
      </c>
      <c r="T209" s="9">
        <v>2.14032</v>
      </c>
      <c r="U209" s="9">
        <v>3.7000000000000002E-3</v>
      </c>
      <c r="V209" s="9">
        <v>4.7</v>
      </c>
      <c r="W209" s="9">
        <v>0.05</v>
      </c>
    </row>
    <row r="210" spans="1:23" x14ac:dyDescent="0.3">
      <c r="A210" s="4">
        <v>162</v>
      </c>
      <c r="B210" s="5" t="s">
        <v>120</v>
      </c>
      <c r="C210" s="5">
        <v>1.5</v>
      </c>
      <c r="D210" s="5" t="str">
        <f t="shared" si="3"/>
        <v>162,1965-1970,1,5</v>
      </c>
      <c r="E210" s="6">
        <v>0.1</v>
      </c>
      <c r="F210" s="6">
        <v>20</v>
      </c>
      <c r="G210" s="6">
        <v>0.1</v>
      </c>
      <c r="H210" s="6">
        <v>3</v>
      </c>
      <c r="I210" s="6">
        <v>3.3</v>
      </c>
      <c r="J210" s="6">
        <v>-17.3</v>
      </c>
      <c r="K210" s="6">
        <v>0</v>
      </c>
      <c r="L210" s="6">
        <v>5.35</v>
      </c>
      <c r="M210" s="6">
        <v>-5.92</v>
      </c>
      <c r="N210" s="6">
        <v>3.98</v>
      </c>
      <c r="O210" s="6">
        <v>0.3</v>
      </c>
      <c r="P210" s="6">
        <v>-11</v>
      </c>
      <c r="Q210" s="6">
        <v>0.17</v>
      </c>
      <c r="R210" s="6">
        <v>4.4589999999999996</v>
      </c>
      <c r="S210" s="6">
        <v>-124</v>
      </c>
      <c r="T210" s="6">
        <v>2.1657999999999999</v>
      </c>
      <c r="U210" s="6">
        <v>3.7000000000000002E-3</v>
      </c>
      <c r="V210" s="6">
        <v>4.7</v>
      </c>
      <c r="W210" s="6">
        <v>0.05</v>
      </c>
    </row>
    <row r="211" spans="1:23" x14ac:dyDescent="0.3">
      <c r="A211" s="7">
        <v>162</v>
      </c>
      <c r="B211" s="8" t="s">
        <v>121</v>
      </c>
      <c r="C211" s="8">
        <v>1.5</v>
      </c>
      <c r="D211" s="8" t="str">
        <f t="shared" si="3"/>
        <v>162,1970-1975,1,5</v>
      </c>
      <c r="E211" s="9">
        <v>0.1</v>
      </c>
      <c r="F211" s="9">
        <v>20</v>
      </c>
      <c r="G211" s="9">
        <v>0.1</v>
      </c>
      <c r="H211" s="9">
        <v>3</v>
      </c>
      <c r="I211" s="9">
        <v>3.3</v>
      </c>
      <c r="J211" s="9">
        <v>-17.3</v>
      </c>
      <c r="K211" s="9">
        <v>0</v>
      </c>
      <c r="L211" s="9">
        <v>4.9000000000000004</v>
      </c>
      <c r="M211" s="9">
        <v>4.7199999999999999E-2</v>
      </c>
      <c r="N211" s="9">
        <v>4</v>
      </c>
      <c r="O211" s="9">
        <v>0.3</v>
      </c>
      <c r="P211" s="9">
        <v>-11</v>
      </c>
      <c r="Q211" s="9">
        <v>0.17</v>
      </c>
      <c r="R211" s="9">
        <v>4.3188599999999999</v>
      </c>
      <c r="S211" s="9">
        <v>-67.3</v>
      </c>
      <c r="T211" s="9">
        <v>2.14032</v>
      </c>
      <c r="U211" s="9">
        <v>3.7000000000000002E-3</v>
      </c>
      <c r="V211" s="9">
        <v>4.7</v>
      </c>
      <c r="W211" s="9">
        <v>0.05</v>
      </c>
    </row>
    <row r="212" spans="1:23" x14ac:dyDescent="0.3">
      <c r="A212" s="4">
        <v>162</v>
      </c>
      <c r="B212" s="5" t="s">
        <v>122</v>
      </c>
      <c r="C212" s="5">
        <v>1.5</v>
      </c>
      <c r="D212" s="5" t="str">
        <f t="shared" si="3"/>
        <v>162,1975-1980,1,5</v>
      </c>
      <c r="E212" s="6">
        <v>0.1</v>
      </c>
      <c r="F212" s="6">
        <v>20</v>
      </c>
      <c r="G212" s="6">
        <v>0.1</v>
      </c>
      <c r="H212" s="6">
        <v>3</v>
      </c>
      <c r="I212" s="6">
        <v>3.3</v>
      </c>
      <c r="J212" s="6">
        <v>-17.3</v>
      </c>
      <c r="K212" s="6">
        <v>0</v>
      </c>
      <c r="L212" s="6">
        <v>5.37</v>
      </c>
      <c r="M212" s="6">
        <v>-9.1300000000000008</v>
      </c>
      <c r="N212" s="6">
        <v>4</v>
      </c>
      <c r="O212" s="6">
        <v>0.3</v>
      </c>
      <c r="P212" s="6">
        <v>-11</v>
      </c>
      <c r="Q212" s="6">
        <v>0.17</v>
      </c>
      <c r="R212" s="6">
        <v>4.5099600000000004</v>
      </c>
      <c r="S212" s="6">
        <v>-65.8</v>
      </c>
      <c r="T212" s="6">
        <v>2.0766200000000001</v>
      </c>
      <c r="U212" s="6">
        <v>3.7000000000000002E-3</v>
      </c>
      <c r="V212" s="6">
        <v>4.7</v>
      </c>
      <c r="W212" s="6">
        <v>0.05</v>
      </c>
    </row>
    <row r="213" spans="1:23" x14ac:dyDescent="0.3">
      <c r="A213" s="7">
        <v>162</v>
      </c>
      <c r="B213" s="8" t="s">
        <v>123</v>
      </c>
      <c r="C213" s="8">
        <v>1.5</v>
      </c>
      <c r="D213" s="8" t="str">
        <f t="shared" si="3"/>
        <v>162,1980-1985,1,5</v>
      </c>
      <c r="E213" s="9">
        <v>0.1</v>
      </c>
      <c r="F213" s="9">
        <v>20</v>
      </c>
      <c r="G213" s="9">
        <v>0.1</v>
      </c>
      <c r="H213" s="9">
        <v>3</v>
      </c>
      <c r="I213" s="9">
        <v>3.3</v>
      </c>
      <c r="J213" s="9">
        <v>-17.3</v>
      </c>
      <c r="K213" s="9">
        <v>0</v>
      </c>
      <c r="L213" s="9">
        <v>5.37</v>
      </c>
      <c r="M213" s="9">
        <v>-7.54</v>
      </c>
      <c r="N213" s="9">
        <v>4.01</v>
      </c>
      <c r="O213" s="9">
        <v>0.3</v>
      </c>
      <c r="P213" s="9">
        <v>-11</v>
      </c>
      <c r="Q213" s="9">
        <v>0.17</v>
      </c>
      <c r="R213" s="9">
        <v>5.9368400000000001</v>
      </c>
      <c r="S213" s="9">
        <v>-132</v>
      </c>
      <c r="T213" s="9">
        <v>2.0638800000000002</v>
      </c>
      <c r="U213" s="9">
        <v>3.7000000000000002E-3</v>
      </c>
      <c r="V213" s="9">
        <v>4.7</v>
      </c>
      <c r="W213" s="9">
        <v>0.05</v>
      </c>
    </row>
    <row r="214" spans="1:23" x14ac:dyDescent="0.3">
      <c r="A214" s="4">
        <v>162</v>
      </c>
      <c r="B214" s="5" t="s">
        <v>124</v>
      </c>
      <c r="C214" s="5">
        <v>1.5</v>
      </c>
      <c r="D214" s="5" t="str">
        <f t="shared" si="3"/>
        <v>162,1985-1990,1,5</v>
      </c>
      <c r="E214" s="6">
        <v>0.1</v>
      </c>
      <c r="F214" s="6">
        <v>20</v>
      </c>
      <c r="G214" s="6">
        <v>0.1</v>
      </c>
      <c r="H214" s="6">
        <v>3</v>
      </c>
      <c r="I214" s="6">
        <v>3.3</v>
      </c>
      <c r="J214" s="6">
        <v>-17.3</v>
      </c>
      <c r="K214" s="6">
        <v>0</v>
      </c>
      <c r="L214" s="6">
        <v>5.2</v>
      </c>
      <c r="M214" s="6">
        <v>-6.44</v>
      </c>
      <c r="N214" s="6">
        <v>4</v>
      </c>
      <c r="O214" s="6">
        <v>0.3</v>
      </c>
      <c r="P214" s="6">
        <v>-11</v>
      </c>
      <c r="Q214" s="6">
        <v>0.17</v>
      </c>
      <c r="R214" s="6">
        <v>6.2553400000000003</v>
      </c>
      <c r="S214" s="6">
        <v>-118</v>
      </c>
      <c r="T214" s="6">
        <v>2.0638800000000002</v>
      </c>
      <c r="U214" s="6">
        <v>3.7000000000000002E-3</v>
      </c>
      <c r="V214" s="6">
        <v>4.7</v>
      </c>
      <c r="W214" s="6">
        <v>0.05</v>
      </c>
    </row>
    <row r="215" spans="1:23" x14ac:dyDescent="0.3">
      <c r="A215" s="7">
        <v>162</v>
      </c>
      <c r="B215" s="8" t="s">
        <v>125</v>
      </c>
      <c r="C215" s="8">
        <v>1.5</v>
      </c>
      <c r="D215" s="8" t="str">
        <f t="shared" si="3"/>
        <v>162,1990-1995,1,5</v>
      </c>
      <c r="E215" s="9">
        <v>0.1</v>
      </c>
      <c r="F215" s="9">
        <v>20</v>
      </c>
      <c r="G215" s="9">
        <v>0.1</v>
      </c>
      <c r="H215" s="9">
        <v>3</v>
      </c>
      <c r="I215" s="9">
        <v>3.3</v>
      </c>
      <c r="J215" s="9">
        <v>-17.3</v>
      </c>
      <c r="K215" s="9">
        <v>0</v>
      </c>
      <c r="L215" s="9">
        <v>5.91</v>
      </c>
      <c r="M215" s="9">
        <v>-11.8</v>
      </c>
      <c r="N215" s="9">
        <v>4</v>
      </c>
      <c r="O215" s="9">
        <v>0.3</v>
      </c>
      <c r="P215" s="9">
        <v>-11</v>
      </c>
      <c r="Q215" s="9">
        <v>0.17</v>
      </c>
      <c r="R215" s="9">
        <v>3.7965200000000001</v>
      </c>
      <c r="S215" s="9">
        <v>-22.3</v>
      </c>
      <c r="T215" s="9">
        <v>2.0511400000000002</v>
      </c>
      <c r="U215" s="9">
        <v>3.7000000000000002E-3</v>
      </c>
      <c r="V215" s="9">
        <v>4.7</v>
      </c>
      <c r="W215" s="9">
        <v>0.05</v>
      </c>
    </row>
    <row r="216" spans="1:23" x14ac:dyDescent="0.3">
      <c r="A216" s="4">
        <v>162</v>
      </c>
      <c r="B216" s="5" t="s">
        <v>126</v>
      </c>
      <c r="C216" s="5">
        <v>1.5</v>
      </c>
      <c r="D216" s="5" t="str">
        <f t="shared" si="3"/>
        <v>162,1995-2000,1,5</v>
      </c>
      <c r="E216" s="6">
        <v>0.1</v>
      </c>
      <c r="F216" s="6">
        <v>20</v>
      </c>
      <c r="G216" s="6">
        <v>0.1</v>
      </c>
      <c r="H216" s="6">
        <v>3</v>
      </c>
      <c r="I216" s="6">
        <v>3.3</v>
      </c>
      <c r="J216" s="6">
        <v>-17.3</v>
      </c>
      <c r="K216" s="6">
        <v>0</v>
      </c>
      <c r="L216" s="6">
        <v>4.9000000000000004</v>
      </c>
      <c r="M216" s="6">
        <v>-2.71</v>
      </c>
      <c r="N216" s="6">
        <v>4</v>
      </c>
      <c r="O216" s="6">
        <v>0.3</v>
      </c>
      <c r="P216" s="6">
        <v>-11</v>
      </c>
      <c r="Q216" s="6">
        <v>0.17</v>
      </c>
      <c r="R216" s="6">
        <v>6.6630200000000004</v>
      </c>
      <c r="S216" s="6">
        <v>-132</v>
      </c>
      <c r="T216" s="6">
        <v>2.0001799999999998</v>
      </c>
      <c r="U216" s="6">
        <v>3.7000000000000002E-3</v>
      </c>
      <c r="V216" s="6">
        <v>4.7</v>
      </c>
      <c r="W216" s="6">
        <v>0.05</v>
      </c>
    </row>
    <row r="217" spans="1:23" x14ac:dyDescent="0.3">
      <c r="A217" s="7">
        <v>162</v>
      </c>
      <c r="B217" s="8" t="s">
        <v>127</v>
      </c>
      <c r="C217" s="8">
        <v>1.5</v>
      </c>
      <c r="D217" s="8" t="str">
        <f t="shared" si="3"/>
        <v>162,2000-2005,1,5</v>
      </c>
      <c r="E217" s="9">
        <v>0.1</v>
      </c>
      <c r="F217" s="9">
        <v>20</v>
      </c>
      <c r="G217" s="9">
        <v>0.1</v>
      </c>
      <c r="H217" s="9">
        <v>3</v>
      </c>
      <c r="I217" s="9">
        <v>3.3</v>
      </c>
      <c r="J217" s="9">
        <v>-17.3</v>
      </c>
      <c r="K217" s="9">
        <v>0</v>
      </c>
      <c r="L217" s="9">
        <v>6.37</v>
      </c>
      <c r="M217" s="9">
        <v>-19.899999999999999</v>
      </c>
      <c r="N217" s="9">
        <v>4</v>
      </c>
      <c r="O217" s="9">
        <v>0.3</v>
      </c>
      <c r="P217" s="9">
        <v>-11</v>
      </c>
      <c r="Q217" s="9">
        <v>0.17</v>
      </c>
      <c r="R217" s="9">
        <v>6.7776800000000001</v>
      </c>
      <c r="S217" s="9">
        <v>-141</v>
      </c>
      <c r="T217" s="9">
        <v>2.12758</v>
      </c>
      <c r="U217" s="9">
        <v>3.7000000000000002E-3</v>
      </c>
      <c r="V217" s="9">
        <v>4.7</v>
      </c>
      <c r="W217" s="9">
        <v>0.05</v>
      </c>
    </row>
    <row r="218" spans="1:23" x14ac:dyDescent="0.3">
      <c r="A218" s="4">
        <v>162</v>
      </c>
      <c r="B218" s="5" t="s">
        <v>128</v>
      </c>
      <c r="C218" s="5">
        <v>1.5</v>
      </c>
      <c r="D218" s="5" t="str">
        <f t="shared" si="3"/>
        <v>162,2005-2010,1,5</v>
      </c>
      <c r="E218" s="6">
        <v>0.1</v>
      </c>
      <c r="F218" s="6">
        <v>20</v>
      </c>
      <c r="G218" s="6">
        <v>0.1</v>
      </c>
      <c r="H218" s="6">
        <v>3</v>
      </c>
      <c r="I218" s="6">
        <v>3.3</v>
      </c>
      <c r="J218" s="6">
        <v>-17.3</v>
      </c>
      <c r="K218" s="6">
        <v>0</v>
      </c>
      <c r="L218" s="6">
        <v>6.22</v>
      </c>
      <c r="M218" s="6">
        <v>-18.600000000000001</v>
      </c>
      <c r="N218" s="6">
        <v>3.99</v>
      </c>
      <c r="O218" s="6">
        <v>0.3</v>
      </c>
      <c r="P218" s="6">
        <v>-11</v>
      </c>
      <c r="Q218" s="6">
        <v>0.17</v>
      </c>
      <c r="R218" s="6">
        <v>6.5356199999999998</v>
      </c>
      <c r="S218" s="6">
        <v>-126</v>
      </c>
      <c r="T218" s="6">
        <v>2.0384000000000002</v>
      </c>
      <c r="U218" s="6">
        <v>3.7000000000000002E-3</v>
      </c>
      <c r="V218" s="6">
        <v>4.7</v>
      </c>
      <c r="W218" s="6">
        <v>0.05</v>
      </c>
    </row>
    <row r="219" spans="1:23" x14ac:dyDescent="0.3">
      <c r="A219" s="7">
        <v>162</v>
      </c>
      <c r="B219" s="8" t="s">
        <v>129</v>
      </c>
      <c r="C219" s="8">
        <v>1.5</v>
      </c>
      <c r="D219" s="8" t="str">
        <f t="shared" si="3"/>
        <v>162,2010-2015,1,5</v>
      </c>
      <c r="E219" s="9">
        <v>0.1</v>
      </c>
      <c r="F219" s="9">
        <v>20</v>
      </c>
      <c r="G219" s="9">
        <v>0.1</v>
      </c>
      <c r="H219" s="9">
        <v>3</v>
      </c>
      <c r="I219" s="9">
        <v>3.3</v>
      </c>
      <c r="J219" s="9">
        <v>-17.3</v>
      </c>
      <c r="K219" s="9">
        <v>0</v>
      </c>
      <c r="L219" s="9">
        <v>6.31</v>
      </c>
      <c r="M219" s="9">
        <v>-20.8</v>
      </c>
      <c r="N219" s="9">
        <v>3.96</v>
      </c>
      <c r="O219" s="9">
        <v>0.3</v>
      </c>
      <c r="P219" s="9">
        <v>-11</v>
      </c>
      <c r="Q219" s="9">
        <v>0.17</v>
      </c>
      <c r="R219" s="9">
        <v>4.7902399999999998</v>
      </c>
      <c r="S219" s="9">
        <v>-68.900000000000006</v>
      </c>
      <c r="T219" s="9">
        <v>1.94922</v>
      </c>
      <c r="U219" s="9">
        <v>3.7000000000000002E-3</v>
      </c>
      <c r="V219" s="9">
        <v>4.7</v>
      </c>
      <c r="W219" s="9">
        <v>0.05</v>
      </c>
    </row>
    <row r="220" spans="1:23" x14ac:dyDescent="0.3">
      <c r="A220" s="4">
        <v>162</v>
      </c>
      <c r="B220" s="5" t="s">
        <v>130</v>
      </c>
      <c r="C220" s="5">
        <v>1.5</v>
      </c>
      <c r="D220" s="5" t="str">
        <f t="shared" si="3"/>
        <v>162,2015-2020,1,5</v>
      </c>
      <c r="E220" s="6">
        <v>0.1</v>
      </c>
      <c r="F220" s="6">
        <v>20</v>
      </c>
      <c r="G220" s="6">
        <v>0.1</v>
      </c>
      <c r="H220" s="6">
        <v>3</v>
      </c>
      <c r="I220" s="6">
        <v>3.3</v>
      </c>
      <c r="J220" s="6">
        <v>-17.3</v>
      </c>
      <c r="K220" s="6">
        <v>0</v>
      </c>
      <c r="L220" s="6">
        <v>5.2</v>
      </c>
      <c r="M220" s="6">
        <v>-9.98</v>
      </c>
      <c r="N220" s="6">
        <v>4</v>
      </c>
      <c r="O220" s="6">
        <v>0.3</v>
      </c>
      <c r="P220" s="6">
        <v>-11</v>
      </c>
      <c r="Q220" s="6">
        <v>0.17</v>
      </c>
      <c r="R220" s="6">
        <v>8.0007199999999994</v>
      </c>
      <c r="S220" s="6">
        <v>-199</v>
      </c>
      <c r="T220" s="6">
        <v>2.1021000000000001</v>
      </c>
      <c r="U220" s="6">
        <v>3.7000000000000002E-3</v>
      </c>
      <c r="V220" s="6">
        <v>4.7</v>
      </c>
      <c r="W220" s="6">
        <v>0.05</v>
      </c>
    </row>
    <row r="221" spans="1:23" x14ac:dyDescent="0.3">
      <c r="A221" s="7">
        <v>162</v>
      </c>
      <c r="B221" s="8" t="s">
        <v>131</v>
      </c>
      <c r="C221" s="8">
        <v>1.5</v>
      </c>
      <c r="D221" s="8" t="str">
        <f t="shared" si="3"/>
        <v>162,2020-,1,5</v>
      </c>
      <c r="E221" s="9">
        <v>0.1</v>
      </c>
      <c r="F221" s="9">
        <v>20</v>
      </c>
      <c r="G221" s="9">
        <v>0.1</v>
      </c>
      <c r="H221" s="9">
        <v>3</v>
      </c>
      <c r="I221" s="9">
        <v>3.3</v>
      </c>
      <c r="J221" s="9">
        <v>-17.3</v>
      </c>
      <c r="K221" s="9">
        <v>0</v>
      </c>
      <c r="L221" s="9">
        <v>4.5999999999999996</v>
      </c>
      <c r="M221" s="9">
        <v>1.53</v>
      </c>
      <c r="N221" s="9">
        <v>4.0199999999999996</v>
      </c>
      <c r="O221" s="9">
        <v>0.3</v>
      </c>
      <c r="P221" s="9">
        <v>-11</v>
      </c>
      <c r="Q221" s="9">
        <v>0.17</v>
      </c>
      <c r="R221" s="9">
        <v>6.5101399999999998</v>
      </c>
      <c r="S221" s="9">
        <v>-124</v>
      </c>
      <c r="T221" s="9">
        <v>2.33142</v>
      </c>
      <c r="U221" s="9">
        <v>3.7000000000000002E-3</v>
      </c>
      <c r="V221" s="9">
        <v>4.7</v>
      </c>
      <c r="W221" s="9">
        <v>0.05</v>
      </c>
    </row>
    <row r="222" spans="1:23" x14ac:dyDescent="0.3">
      <c r="A222" s="4">
        <v>162</v>
      </c>
      <c r="B222" s="5">
        <v>-1920</v>
      </c>
      <c r="C222" s="5">
        <v>2</v>
      </c>
      <c r="D222" s="5" t="str">
        <f t="shared" si="3"/>
        <v>162,-1920,2</v>
      </c>
      <c r="E222" s="6">
        <v>0.48599999999999999</v>
      </c>
      <c r="F222" s="6">
        <v>28.6</v>
      </c>
      <c r="G222" s="6">
        <v>0.5</v>
      </c>
      <c r="H222" s="6">
        <v>2.4</v>
      </c>
      <c r="I222" s="6">
        <v>0.4</v>
      </c>
      <c r="J222" s="6">
        <v>225.1</v>
      </c>
      <c r="K222" s="6">
        <v>0</v>
      </c>
      <c r="L222" s="6">
        <v>6.12</v>
      </c>
      <c r="M222" s="6">
        <v>-10.4</v>
      </c>
      <c r="N222" s="6">
        <v>3.96</v>
      </c>
      <c r="O222" s="6">
        <v>0.38300000000000001</v>
      </c>
      <c r="P222" s="6">
        <v>-6</v>
      </c>
      <c r="Q222" s="6">
        <v>0.29299999999999998</v>
      </c>
      <c r="R222" s="6">
        <v>11.8574</v>
      </c>
      <c r="S222" s="6">
        <v>-241</v>
      </c>
      <c r="T222" s="6">
        <v>1.33</v>
      </c>
      <c r="U222" s="6">
        <v>3.7000000000000002E-3</v>
      </c>
      <c r="V222" s="6">
        <v>4.7</v>
      </c>
      <c r="W222" s="6">
        <v>0.06</v>
      </c>
    </row>
    <row r="223" spans="1:23" x14ac:dyDescent="0.3">
      <c r="A223" s="7">
        <v>162</v>
      </c>
      <c r="B223" s="8" t="s">
        <v>111</v>
      </c>
      <c r="C223" s="8">
        <v>2</v>
      </c>
      <c r="D223" s="8" t="str">
        <f t="shared" si="3"/>
        <v>162,1920-1925,2</v>
      </c>
      <c r="E223" s="9">
        <v>0.39200000000000002</v>
      </c>
      <c r="F223" s="9">
        <v>38</v>
      </c>
      <c r="G223" s="9">
        <v>0.48599999999999999</v>
      </c>
      <c r="H223" s="9">
        <v>2.4</v>
      </c>
      <c r="I223" s="9">
        <v>0.8</v>
      </c>
      <c r="J223" s="9">
        <v>218.6</v>
      </c>
      <c r="K223" s="9">
        <v>0</v>
      </c>
      <c r="L223" s="9">
        <v>5.65</v>
      </c>
      <c r="M223" s="9">
        <v>-10.4</v>
      </c>
      <c r="N223" s="9">
        <v>4</v>
      </c>
      <c r="O223" s="9">
        <v>0.37840000000000001</v>
      </c>
      <c r="P223" s="9">
        <v>-5.4</v>
      </c>
      <c r="Q223" s="9">
        <v>0.28299999999999997</v>
      </c>
      <c r="R223" s="9">
        <v>2.9584800000000002</v>
      </c>
      <c r="S223" s="9">
        <v>-10.3</v>
      </c>
      <c r="T223" s="9">
        <v>1.77</v>
      </c>
      <c r="U223" s="9">
        <v>3.7000000000000002E-3</v>
      </c>
      <c r="V223" s="9">
        <v>4.7</v>
      </c>
      <c r="W223" s="9">
        <v>0.06</v>
      </c>
    </row>
    <row r="224" spans="1:23" x14ac:dyDescent="0.3">
      <c r="A224" s="4">
        <v>162</v>
      </c>
      <c r="B224" s="5" t="s">
        <v>112</v>
      </c>
      <c r="C224" s="5">
        <v>2</v>
      </c>
      <c r="D224" s="5" t="str">
        <f t="shared" si="3"/>
        <v>162,1925-1930,2</v>
      </c>
      <c r="E224" s="6">
        <v>0.34599999999999997</v>
      </c>
      <c r="F224" s="6">
        <v>40.6</v>
      </c>
      <c r="G224" s="6">
        <v>0.49399999999999999</v>
      </c>
      <c r="H224" s="6">
        <v>2.5</v>
      </c>
      <c r="I224" s="6">
        <v>0.4</v>
      </c>
      <c r="J224" s="6">
        <v>229.2</v>
      </c>
      <c r="K224" s="6">
        <v>0</v>
      </c>
      <c r="L224" s="6">
        <v>5.16</v>
      </c>
      <c r="M224" s="6">
        <v>-7.24</v>
      </c>
      <c r="N224" s="6">
        <v>3.98</v>
      </c>
      <c r="O224" s="6">
        <v>0.37769999999999998</v>
      </c>
      <c r="P224" s="6">
        <v>-5.3</v>
      </c>
      <c r="Q224" s="6">
        <v>0.28100000000000003</v>
      </c>
      <c r="R224" s="6">
        <v>5.4356200000000001</v>
      </c>
      <c r="S224" s="6">
        <v>-22.8</v>
      </c>
      <c r="T224" s="6">
        <v>2.04</v>
      </c>
      <c r="U224" s="6">
        <v>3.7000000000000002E-3</v>
      </c>
      <c r="V224" s="6">
        <v>4.7</v>
      </c>
      <c r="W224" s="6">
        <v>0.06</v>
      </c>
    </row>
    <row r="225" spans="1:23" x14ac:dyDescent="0.3">
      <c r="A225" s="7">
        <v>162</v>
      </c>
      <c r="B225" s="8" t="s">
        <v>113</v>
      </c>
      <c r="C225" s="8">
        <v>2</v>
      </c>
      <c r="D225" s="8" t="str">
        <f t="shared" si="3"/>
        <v>162,1930-1935,2</v>
      </c>
      <c r="E225" s="9">
        <v>0.36799999999999999</v>
      </c>
      <c r="F225" s="9">
        <v>36.6</v>
      </c>
      <c r="G225" s="9">
        <v>0.47099999999999997</v>
      </c>
      <c r="H225" s="9">
        <v>2.5</v>
      </c>
      <c r="I225" s="9">
        <v>3</v>
      </c>
      <c r="J225" s="9">
        <v>5.0999999999999996</v>
      </c>
      <c r="K225" s="9">
        <v>0</v>
      </c>
      <c r="L225" s="9">
        <v>5.12</v>
      </c>
      <c r="M225" s="9">
        <v>-6.39</v>
      </c>
      <c r="N225" s="9">
        <v>3.98</v>
      </c>
      <c r="O225" s="9">
        <v>0.38150000000000001</v>
      </c>
      <c r="P225" s="9">
        <v>-5.7</v>
      </c>
      <c r="Q225" s="9">
        <v>0.28299999999999997</v>
      </c>
      <c r="R225" s="9">
        <v>2.9937</v>
      </c>
      <c r="S225" s="9">
        <v>-16.3</v>
      </c>
      <c r="T225" s="9">
        <v>1.68</v>
      </c>
      <c r="U225" s="9">
        <v>3.7000000000000002E-3</v>
      </c>
      <c r="V225" s="9">
        <v>4.7</v>
      </c>
      <c r="W225" s="9">
        <v>0.06</v>
      </c>
    </row>
    <row r="226" spans="1:23" x14ac:dyDescent="0.3">
      <c r="A226" s="4">
        <v>162</v>
      </c>
      <c r="B226" s="5" t="s">
        <v>114</v>
      </c>
      <c r="C226" s="5">
        <v>2</v>
      </c>
      <c r="D226" s="5" t="str">
        <f t="shared" si="3"/>
        <v>162,1935-1940,2</v>
      </c>
      <c r="E226" s="6">
        <v>0.312</v>
      </c>
      <c r="F226" s="6">
        <v>44.2</v>
      </c>
      <c r="G226" s="6">
        <v>0.47399999999999998</v>
      </c>
      <c r="H226" s="6">
        <v>2.2999999999999998</v>
      </c>
      <c r="I226" s="6">
        <v>3</v>
      </c>
      <c r="J226" s="6">
        <v>1.2</v>
      </c>
      <c r="K226" s="6">
        <v>0</v>
      </c>
      <c r="L226" s="6">
        <v>5.46</v>
      </c>
      <c r="M226" s="6">
        <v>-13.5</v>
      </c>
      <c r="N226" s="6">
        <v>4.12</v>
      </c>
      <c r="O226" s="6">
        <v>0.38750000000000001</v>
      </c>
      <c r="P226" s="6">
        <v>-5.9</v>
      </c>
      <c r="Q226" s="6">
        <v>0.27800000000000002</v>
      </c>
      <c r="R226" s="6">
        <v>8.3353999999999999</v>
      </c>
      <c r="S226" s="6">
        <v>-451</v>
      </c>
      <c r="T226" s="6">
        <v>2.0099999999999998</v>
      </c>
      <c r="U226" s="6">
        <v>3.7000000000000002E-3</v>
      </c>
      <c r="V226" s="6">
        <v>4.7</v>
      </c>
      <c r="W226" s="6">
        <v>0.06</v>
      </c>
    </row>
    <row r="227" spans="1:23" x14ac:dyDescent="0.3">
      <c r="A227" s="7">
        <v>162</v>
      </c>
      <c r="B227" s="8" t="s">
        <v>115</v>
      </c>
      <c r="C227" s="8">
        <v>2</v>
      </c>
      <c r="D227" s="8" t="str">
        <f t="shared" si="3"/>
        <v>162,1940-1945,2</v>
      </c>
      <c r="E227" s="9">
        <v>0.32900000000000001</v>
      </c>
      <c r="F227" s="9">
        <v>43.2</v>
      </c>
      <c r="G227" s="9">
        <v>0.46100000000000002</v>
      </c>
      <c r="H227" s="9">
        <v>2.4</v>
      </c>
      <c r="I227" s="9">
        <v>2.6</v>
      </c>
      <c r="J227" s="9">
        <v>44.3</v>
      </c>
      <c r="K227" s="9">
        <v>0</v>
      </c>
      <c r="L227" s="9">
        <v>6.3</v>
      </c>
      <c r="M227" s="9">
        <v>-23.1</v>
      </c>
      <c r="N227" s="9">
        <v>3.96</v>
      </c>
      <c r="O227" s="9">
        <v>0.38119999999999998</v>
      </c>
      <c r="P227" s="9">
        <v>-5.9</v>
      </c>
      <c r="Q227" s="9">
        <v>0.27800000000000002</v>
      </c>
      <c r="R227" s="9">
        <v>3.18154</v>
      </c>
      <c r="S227" s="9">
        <v>-22.7</v>
      </c>
      <c r="T227" s="9">
        <v>2.15</v>
      </c>
      <c r="U227" s="9">
        <v>3.7000000000000002E-3</v>
      </c>
      <c r="V227" s="9">
        <v>4.7</v>
      </c>
      <c r="W227" s="9">
        <v>0.06</v>
      </c>
    </row>
    <row r="228" spans="1:23" x14ac:dyDescent="0.3">
      <c r="A228" s="4">
        <v>162</v>
      </c>
      <c r="B228" s="5" t="s">
        <v>116</v>
      </c>
      <c r="C228" s="5">
        <v>2</v>
      </c>
      <c r="D228" s="5" t="str">
        <f t="shared" si="3"/>
        <v>162,1945-1950,2</v>
      </c>
      <c r="E228" s="6">
        <v>0.158</v>
      </c>
      <c r="F228" s="6">
        <v>66.2</v>
      </c>
      <c r="G228" s="6">
        <v>0.49199999999999999</v>
      </c>
      <c r="H228" s="6">
        <v>2.5</v>
      </c>
      <c r="I228" s="6">
        <v>2.6</v>
      </c>
      <c r="J228" s="6">
        <v>36.799999999999997</v>
      </c>
      <c r="K228" s="6">
        <v>0</v>
      </c>
      <c r="L228" s="6">
        <v>4.3899999999999997</v>
      </c>
      <c r="M228" s="6">
        <v>-2.1800000000000002</v>
      </c>
      <c r="N228" s="6">
        <v>4.1100000000000003</v>
      </c>
      <c r="O228" s="6">
        <v>0.37740000000000001</v>
      </c>
      <c r="P228" s="6">
        <v>-5.3</v>
      </c>
      <c r="Q228" s="6">
        <v>0.28299999999999997</v>
      </c>
      <c r="R228" s="6">
        <v>5.9991399999999997</v>
      </c>
      <c r="S228" s="6">
        <v>-95</v>
      </c>
      <c r="T228" s="6">
        <v>1.63</v>
      </c>
      <c r="U228" s="6">
        <v>3.7000000000000002E-3</v>
      </c>
      <c r="V228" s="6">
        <v>4.7</v>
      </c>
      <c r="W228" s="6">
        <v>0.06</v>
      </c>
    </row>
    <row r="229" spans="1:23" x14ac:dyDescent="0.3">
      <c r="A229" s="7">
        <v>162</v>
      </c>
      <c r="B229" s="8" t="s">
        <v>117</v>
      </c>
      <c r="C229" s="8">
        <v>2</v>
      </c>
      <c r="D229" s="8" t="str">
        <f t="shared" si="3"/>
        <v>162,1950-1955,2</v>
      </c>
      <c r="E229" s="9">
        <v>0.22700000000000001</v>
      </c>
      <c r="F229" s="9">
        <v>58.3</v>
      </c>
      <c r="G229" s="9">
        <v>0.51900000000000002</v>
      </c>
      <c r="H229" s="9">
        <v>2.2999999999999998</v>
      </c>
      <c r="I229" s="9">
        <v>0.9</v>
      </c>
      <c r="J229" s="9">
        <v>195.8</v>
      </c>
      <c r="K229" s="9">
        <v>0</v>
      </c>
      <c r="L229" s="9">
        <v>4.74</v>
      </c>
      <c r="M229" s="9">
        <v>-3.66</v>
      </c>
      <c r="N229" s="9">
        <v>3.99</v>
      </c>
      <c r="O229" s="9">
        <v>0.36980000000000002</v>
      </c>
      <c r="P229" s="9">
        <v>-4.5</v>
      </c>
      <c r="Q229" s="9">
        <v>0.28299999999999997</v>
      </c>
      <c r="R229" s="9">
        <v>3.61592</v>
      </c>
      <c r="S229" s="9">
        <v>18</v>
      </c>
      <c r="T229" s="9">
        <v>1.52</v>
      </c>
      <c r="U229" s="9">
        <v>3.7000000000000002E-3</v>
      </c>
      <c r="V229" s="9">
        <v>4.7</v>
      </c>
      <c r="W229" s="9">
        <v>0.06</v>
      </c>
    </row>
    <row r="230" spans="1:23" x14ac:dyDescent="0.3">
      <c r="A230" s="4">
        <v>162</v>
      </c>
      <c r="B230" s="5" t="s">
        <v>118</v>
      </c>
      <c r="C230" s="5">
        <v>2</v>
      </c>
      <c r="D230" s="5" t="str">
        <f t="shared" si="3"/>
        <v>162,1955-1960,2</v>
      </c>
      <c r="E230" s="6">
        <v>0.29499999999999998</v>
      </c>
      <c r="F230" s="6">
        <v>49.4</v>
      </c>
      <c r="G230" s="6">
        <v>0.50600000000000001</v>
      </c>
      <c r="H230" s="6">
        <v>2</v>
      </c>
      <c r="I230" s="6">
        <v>0.3</v>
      </c>
      <c r="J230" s="6">
        <v>290.7</v>
      </c>
      <c r="K230" s="6">
        <v>0</v>
      </c>
      <c r="L230" s="6">
        <v>6.62</v>
      </c>
      <c r="M230" s="6">
        <v>-24.1</v>
      </c>
      <c r="N230" s="6">
        <v>4.0199999999999996</v>
      </c>
      <c r="O230" s="6">
        <v>0.37190000000000001</v>
      </c>
      <c r="P230" s="6">
        <v>-4.8</v>
      </c>
      <c r="Q230" s="6">
        <v>0.28299999999999997</v>
      </c>
      <c r="R230" s="6">
        <v>5.0247200000000003</v>
      </c>
      <c r="S230" s="6">
        <v>-181</v>
      </c>
      <c r="T230" s="6">
        <v>2.0099999999999998</v>
      </c>
      <c r="U230" s="6">
        <v>3.7000000000000002E-3</v>
      </c>
      <c r="V230" s="6">
        <v>4.7</v>
      </c>
      <c r="W230" s="6">
        <v>0.06</v>
      </c>
    </row>
    <row r="231" spans="1:23" x14ac:dyDescent="0.3">
      <c r="A231" s="7">
        <v>162</v>
      </c>
      <c r="B231" s="8" t="s">
        <v>119</v>
      </c>
      <c r="C231" s="8">
        <v>2</v>
      </c>
      <c r="D231" s="8" t="str">
        <f t="shared" si="3"/>
        <v>162,1960-1965,2</v>
      </c>
      <c r="E231" s="9">
        <v>0.38500000000000001</v>
      </c>
      <c r="F231" s="9">
        <v>44.2</v>
      </c>
      <c r="G231" s="9">
        <v>0.51400000000000001</v>
      </c>
      <c r="H231" s="9">
        <v>2.1</v>
      </c>
      <c r="I231" s="9">
        <v>0.9</v>
      </c>
      <c r="J231" s="9">
        <v>210.4</v>
      </c>
      <c r="K231" s="9">
        <v>0</v>
      </c>
      <c r="L231" s="9">
        <v>5.57</v>
      </c>
      <c r="M231" s="9">
        <v>-9.41</v>
      </c>
      <c r="N231" s="9">
        <v>4.0599999999999996</v>
      </c>
      <c r="O231" s="9">
        <v>0.36449999999999999</v>
      </c>
      <c r="P231" s="9">
        <v>-3.9</v>
      </c>
      <c r="Q231" s="9">
        <v>0.29199999999999998</v>
      </c>
      <c r="R231" s="9">
        <v>4.0620399999999997</v>
      </c>
      <c r="S231" s="9">
        <v>-101</v>
      </c>
      <c r="T231" s="9">
        <v>1.68</v>
      </c>
      <c r="U231" s="9">
        <v>3.7000000000000002E-3</v>
      </c>
      <c r="V231" s="9">
        <v>4.7</v>
      </c>
      <c r="W231" s="9">
        <v>0.06</v>
      </c>
    </row>
    <row r="232" spans="1:23" x14ac:dyDescent="0.3">
      <c r="A232" s="4">
        <v>162</v>
      </c>
      <c r="B232" s="5" t="s">
        <v>120</v>
      </c>
      <c r="C232" s="5">
        <v>2</v>
      </c>
      <c r="D232" s="5" t="str">
        <f t="shared" si="3"/>
        <v>162,1965-1970,2</v>
      </c>
      <c r="E232" s="6">
        <v>0.42899999999999999</v>
      </c>
      <c r="F232" s="6">
        <v>47.1</v>
      </c>
      <c r="G232" s="6">
        <v>0.496</v>
      </c>
      <c r="H232" s="6">
        <v>1.1000000000000001</v>
      </c>
      <c r="I232" s="6">
        <v>0.1</v>
      </c>
      <c r="J232" s="6">
        <v>330.6</v>
      </c>
      <c r="K232" s="6">
        <v>0</v>
      </c>
      <c r="L232" s="6">
        <v>5.35</v>
      </c>
      <c r="M232" s="6">
        <v>-5.92</v>
      </c>
      <c r="N232" s="6">
        <v>3.98</v>
      </c>
      <c r="O232" s="6">
        <v>0.3745</v>
      </c>
      <c r="P232" s="6">
        <v>-5.4</v>
      </c>
      <c r="Q232" s="6">
        <v>0.29699999999999999</v>
      </c>
      <c r="R232" s="6">
        <v>4.109</v>
      </c>
      <c r="S232" s="6">
        <v>-124</v>
      </c>
      <c r="T232" s="6">
        <v>1.7</v>
      </c>
      <c r="U232" s="6">
        <v>3.7000000000000002E-3</v>
      </c>
      <c r="V232" s="6">
        <v>4.7</v>
      </c>
      <c r="W232" s="6">
        <v>0.06</v>
      </c>
    </row>
    <row r="233" spans="1:23" x14ac:dyDescent="0.3">
      <c r="A233" s="7">
        <v>162</v>
      </c>
      <c r="B233" s="8" t="s">
        <v>121</v>
      </c>
      <c r="C233" s="8">
        <v>2</v>
      </c>
      <c r="D233" s="8" t="str">
        <f t="shared" si="3"/>
        <v>162,1970-1975,2</v>
      </c>
      <c r="E233" s="9">
        <v>0.40200000000000002</v>
      </c>
      <c r="F233" s="9">
        <v>66</v>
      </c>
      <c r="G233" s="9">
        <v>0.49299999999999999</v>
      </c>
      <c r="H233" s="9">
        <v>2</v>
      </c>
      <c r="I233" s="9">
        <v>0.1</v>
      </c>
      <c r="J233" s="9">
        <v>320</v>
      </c>
      <c r="K233" s="9">
        <v>0</v>
      </c>
      <c r="L233" s="9">
        <v>4.9000000000000004</v>
      </c>
      <c r="M233" s="9">
        <v>4.7199999999999999E-2</v>
      </c>
      <c r="N233" s="9">
        <v>4</v>
      </c>
      <c r="O233" s="9">
        <v>0.37640000000000001</v>
      </c>
      <c r="P233" s="9">
        <v>-5.3</v>
      </c>
      <c r="Q233" s="9">
        <v>0.31</v>
      </c>
      <c r="R233" s="9">
        <v>3.97986</v>
      </c>
      <c r="S233" s="9">
        <v>-67.3</v>
      </c>
      <c r="T233" s="9">
        <v>1.68</v>
      </c>
      <c r="U233" s="9">
        <v>3.7000000000000002E-3</v>
      </c>
      <c r="V233" s="9">
        <v>4.7</v>
      </c>
      <c r="W233" s="9">
        <v>0.06</v>
      </c>
    </row>
    <row r="234" spans="1:23" x14ac:dyDescent="0.3">
      <c r="A234" s="4">
        <v>162</v>
      </c>
      <c r="B234" s="5" t="s">
        <v>122</v>
      </c>
      <c r="C234" s="5">
        <v>2</v>
      </c>
      <c r="D234" s="5" t="str">
        <f t="shared" si="3"/>
        <v>162,1975-1980,2</v>
      </c>
      <c r="E234" s="6">
        <v>0.442</v>
      </c>
      <c r="F234" s="6">
        <v>44.2</v>
      </c>
      <c r="G234" s="6">
        <v>0.45800000000000002</v>
      </c>
      <c r="H234" s="6">
        <v>1.3</v>
      </c>
      <c r="I234" s="6">
        <v>1.6</v>
      </c>
      <c r="J234" s="6">
        <v>130.9</v>
      </c>
      <c r="K234" s="6">
        <v>0</v>
      </c>
      <c r="L234" s="6">
        <v>5.37</v>
      </c>
      <c r="M234" s="6">
        <v>-9.1300000000000008</v>
      </c>
      <c r="N234" s="6">
        <v>4</v>
      </c>
      <c r="O234" s="6">
        <v>0.37669999999999998</v>
      </c>
      <c r="P234" s="6">
        <v>-5.4</v>
      </c>
      <c r="Q234" s="6">
        <v>0.316</v>
      </c>
      <c r="R234" s="6">
        <v>4.1559600000000003</v>
      </c>
      <c r="S234" s="6">
        <v>-65.8</v>
      </c>
      <c r="T234" s="6">
        <v>1.63</v>
      </c>
      <c r="U234" s="6">
        <v>3.7000000000000002E-3</v>
      </c>
      <c r="V234" s="6">
        <v>4.7</v>
      </c>
      <c r="W234" s="6">
        <v>0.06</v>
      </c>
    </row>
    <row r="235" spans="1:23" x14ac:dyDescent="0.3">
      <c r="A235" s="7">
        <v>162</v>
      </c>
      <c r="B235" s="8" t="s">
        <v>123</v>
      </c>
      <c r="C235" s="8">
        <v>2</v>
      </c>
      <c r="D235" s="8" t="str">
        <f t="shared" si="3"/>
        <v>162,1980-1985,2</v>
      </c>
      <c r="E235" s="9">
        <v>0.42399999999999999</v>
      </c>
      <c r="F235" s="9">
        <v>32.1</v>
      </c>
      <c r="G235" s="9">
        <v>0.46500000000000002</v>
      </c>
      <c r="H235" s="9">
        <v>2</v>
      </c>
      <c r="I235" s="9">
        <v>1.2</v>
      </c>
      <c r="J235" s="9">
        <v>153</v>
      </c>
      <c r="K235" s="9">
        <v>0</v>
      </c>
      <c r="L235" s="9">
        <v>5.37</v>
      </c>
      <c r="M235" s="9">
        <v>-7.54</v>
      </c>
      <c r="N235" s="9">
        <v>4.01</v>
      </c>
      <c r="O235" s="9">
        <v>0.4753</v>
      </c>
      <c r="P235" s="9">
        <v>-19.3</v>
      </c>
      <c r="Q235" s="9">
        <v>0.32</v>
      </c>
      <c r="R235" s="9">
        <v>5.4708399999999999</v>
      </c>
      <c r="S235" s="9">
        <v>-132</v>
      </c>
      <c r="T235" s="9">
        <v>1.62</v>
      </c>
      <c r="U235" s="9">
        <v>3.7000000000000002E-3</v>
      </c>
      <c r="V235" s="9">
        <v>4.7</v>
      </c>
      <c r="W235" s="9">
        <v>0.06</v>
      </c>
    </row>
    <row r="236" spans="1:23" x14ac:dyDescent="0.3">
      <c r="A236" s="4">
        <v>162</v>
      </c>
      <c r="B236" s="5" t="s">
        <v>124</v>
      </c>
      <c r="C236" s="5">
        <v>2</v>
      </c>
      <c r="D236" s="5" t="str">
        <f t="shared" si="3"/>
        <v>162,1985-1990,2</v>
      </c>
      <c r="E236" s="6">
        <v>0.35899999999999999</v>
      </c>
      <c r="F236" s="6">
        <v>40.700000000000003</v>
      </c>
      <c r="G236" s="6">
        <v>0.5</v>
      </c>
      <c r="H236" s="6">
        <v>2.1</v>
      </c>
      <c r="I236" s="6">
        <v>2.8</v>
      </c>
      <c r="J236" s="6">
        <v>8.1</v>
      </c>
      <c r="K236" s="6">
        <v>0</v>
      </c>
      <c r="L236" s="6">
        <v>5.2</v>
      </c>
      <c r="M236" s="6">
        <v>-6.44</v>
      </c>
      <c r="N236" s="6">
        <v>4</v>
      </c>
      <c r="O236" s="6">
        <v>0.37440000000000001</v>
      </c>
      <c r="P236" s="6">
        <v>2.5</v>
      </c>
      <c r="Q236" s="6">
        <v>0.32700000000000001</v>
      </c>
      <c r="R236" s="6">
        <v>5.7643399999999998</v>
      </c>
      <c r="S236" s="6">
        <v>-118</v>
      </c>
      <c r="T236" s="6">
        <v>1.62</v>
      </c>
      <c r="U236" s="6">
        <v>3.7000000000000002E-3</v>
      </c>
      <c r="V236" s="6">
        <v>4.7</v>
      </c>
      <c r="W236" s="6">
        <v>0.06</v>
      </c>
    </row>
    <row r="237" spans="1:23" x14ac:dyDescent="0.3">
      <c r="A237" s="7">
        <v>162</v>
      </c>
      <c r="B237" s="8" t="s">
        <v>125</v>
      </c>
      <c r="C237" s="8">
        <v>2</v>
      </c>
      <c r="D237" s="8" t="str">
        <f t="shared" si="3"/>
        <v>162,1990-1995,2</v>
      </c>
      <c r="E237" s="9">
        <v>0.376</v>
      </c>
      <c r="F237" s="9">
        <v>38</v>
      </c>
      <c r="G237" s="9">
        <v>0.502</v>
      </c>
      <c r="H237" s="9">
        <v>2.2000000000000002</v>
      </c>
      <c r="I237" s="9">
        <v>3.1</v>
      </c>
      <c r="J237" s="9">
        <v>-7</v>
      </c>
      <c r="K237" s="9">
        <v>0</v>
      </c>
      <c r="L237" s="9">
        <v>5.91</v>
      </c>
      <c r="M237" s="9">
        <v>-11.8</v>
      </c>
      <c r="N237" s="9">
        <v>4</v>
      </c>
      <c r="O237" s="9">
        <v>0.35970000000000002</v>
      </c>
      <c r="P237" s="9">
        <v>3.9</v>
      </c>
      <c r="Q237" s="9">
        <v>0.32</v>
      </c>
      <c r="R237" s="9">
        <v>3.4985200000000001</v>
      </c>
      <c r="S237" s="9">
        <v>-22.3</v>
      </c>
      <c r="T237" s="9">
        <v>1.61</v>
      </c>
      <c r="U237" s="9">
        <v>3.7000000000000002E-3</v>
      </c>
      <c r="V237" s="9">
        <v>4.7</v>
      </c>
      <c r="W237" s="9">
        <v>0.06</v>
      </c>
    </row>
    <row r="238" spans="1:23" x14ac:dyDescent="0.3">
      <c r="A238" s="4">
        <v>162</v>
      </c>
      <c r="B238" s="5" t="s">
        <v>126</v>
      </c>
      <c r="C238" s="5">
        <v>2</v>
      </c>
      <c r="D238" s="5" t="str">
        <f t="shared" si="3"/>
        <v>162,1995-2000,2</v>
      </c>
      <c r="E238" s="6">
        <v>0.51500000000000001</v>
      </c>
      <c r="F238" s="6">
        <v>26.4</v>
      </c>
      <c r="G238" s="6">
        <v>0.52</v>
      </c>
      <c r="H238" s="6">
        <v>2.2999999999999998</v>
      </c>
      <c r="I238" s="6">
        <v>3.3</v>
      </c>
      <c r="J238" s="6">
        <v>-15.7</v>
      </c>
      <c r="K238" s="6">
        <v>0</v>
      </c>
      <c r="L238" s="6">
        <v>4.9000000000000004</v>
      </c>
      <c r="M238" s="6">
        <v>-2.71</v>
      </c>
      <c r="N238" s="6">
        <v>4</v>
      </c>
      <c r="O238" s="6">
        <v>0.33710000000000001</v>
      </c>
      <c r="P238" s="6">
        <v>-1.7</v>
      </c>
      <c r="Q238" s="6">
        <v>0.222</v>
      </c>
      <c r="R238" s="6">
        <v>6.1400199999999998</v>
      </c>
      <c r="S238" s="6">
        <v>-132</v>
      </c>
      <c r="T238" s="6">
        <v>1.57</v>
      </c>
      <c r="U238" s="6">
        <v>3.7000000000000002E-3</v>
      </c>
      <c r="V238" s="6">
        <v>4.7</v>
      </c>
      <c r="W238" s="6">
        <v>0.06</v>
      </c>
    </row>
    <row r="239" spans="1:23" x14ac:dyDescent="0.3">
      <c r="A239" s="7">
        <v>162</v>
      </c>
      <c r="B239" s="8" t="s">
        <v>127</v>
      </c>
      <c r="C239" s="8">
        <v>2</v>
      </c>
      <c r="D239" s="8" t="str">
        <f t="shared" si="3"/>
        <v>162,2000-2005,2</v>
      </c>
      <c r="E239" s="9">
        <v>0.52700000000000002</v>
      </c>
      <c r="F239" s="9">
        <v>19.3</v>
      </c>
      <c r="G239" s="9">
        <v>0.50800000000000001</v>
      </c>
      <c r="H239" s="9">
        <v>2.2999999999999998</v>
      </c>
      <c r="I239" s="9">
        <v>3.2</v>
      </c>
      <c r="J239" s="9">
        <v>-8</v>
      </c>
      <c r="K239" s="9">
        <v>0</v>
      </c>
      <c r="L239" s="9">
        <v>6.37</v>
      </c>
      <c r="M239" s="9">
        <v>-19.899999999999999</v>
      </c>
      <c r="N239" s="9">
        <v>4</v>
      </c>
      <c r="O239" s="9">
        <v>0.36080000000000001</v>
      </c>
      <c r="P239" s="9">
        <v>-3.4</v>
      </c>
      <c r="Q239" s="9">
        <v>0.28399999999999997</v>
      </c>
      <c r="R239" s="9">
        <v>6.2456800000000001</v>
      </c>
      <c r="S239" s="9">
        <v>-141</v>
      </c>
      <c r="T239" s="9">
        <v>1.67</v>
      </c>
      <c r="U239" s="9">
        <v>3.7000000000000002E-3</v>
      </c>
      <c r="V239" s="9">
        <v>4.7</v>
      </c>
      <c r="W239" s="9">
        <v>0.06</v>
      </c>
    </row>
    <row r="240" spans="1:23" x14ac:dyDescent="0.3">
      <c r="A240" s="4">
        <v>162</v>
      </c>
      <c r="B240" s="5" t="s">
        <v>128</v>
      </c>
      <c r="C240" s="5">
        <v>2</v>
      </c>
      <c r="D240" s="5" t="str">
        <f t="shared" si="3"/>
        <v>162,2005-2010,2</v>
      </c>
      <c r="E240" s="6">
        <v>0.498</v>
      </c>
      <c r="F240" s="6">
        <v>20.7</v>
      </c>
      <c r="G240" s="6">
        <v>0.503</v>
      </c>
      <c r="H240" s="6">
        <v>2.2999999999999998</v>
      </c>
      <c r="I240" s="6">
        <v>3.2</v>
      </c>
      <c r="J240" s="6">
        <v>-5.0999999999999996</v>
      </c>
      <c r="K240" s="6">
        <v>0</v>
      </c>
      <c r="L240" s="6">
        <v>6.22</v>
      </c>
      <c r="M240" s="6">
        <v>-18.600000000000001</v>
      </c>
      <c r="N240" s="6">
        <v>3.99</v>
      </c>
      <c r="O240" s="6">
        <v>0.36780000000000002</v>
      </c>
      <c r="P240" s="6">
        <v>-3.5</v>
      </c>
      <c r="Q240" s="6">
        <v>0.3</v>
      </c>
      <c r="R240" s="6">
        <v>6.0226199999999999</v>
      </c>
      <c r="S240" s="6">
        <v>-126</v>
      </c>
      <c r="T240" s="6">
        <v>1.6</v>
      </c>
      <c r="U240" s="6">
        <v>3.7000000000000002E-3</v>
      </c>
      <c r="V240" s="6">
        <v>4.7</v>
      </c>
      <c r="W240" s="6">
        <v>0.06</v>
      </c>
    </row>
    <row r="241" spans="1:23" x14ac:dyDescent="0.3">
      <c r="A241" s="7">
        <v>162</v>
      </c>
      <c r="B241" s="8" t="s">
        <v>129</v>
      </c>
      <c r="C241" s="8">
        <v>2</v>
      </c>
      <c r="D241" s="8" t="str">
        <f t="shared" si="3"/>
        <v>162,2010-2015,2</v>
      </c>
      <c r="E241" s="9">
        <v>0.497</v>
      </c>
      <c r="F241" s="9">
        <v>16.5</v>
      </c>
      <c r="G241" s="9">
        <v>0.48699999999999999</v>
      </c>
      <c r="H241" s="9">
        <v>2.4</v>
      </c>
      <c r="I241" s="9">
        <v>3.5</v>
      </c>
      <c r="J241" s="9">
        <v>-13.9</v>
      </c>
      <c r="K241" s="9">
        <v>0</v>
      </c>
      <c r="L241" s="9">
        <v>6.31</v>
      </c>
      <c r="M241" s="9">
        <v>-20.8</v>
      </c>
      <c r="N241" s="9">
        <v>3.96</v>
      </c>
      <c r="O241" s="9">
        <v>0.36030000000000001</v>
      </c>
      <c r="P241" s="9">
        <v>-1.3</v>
      </c>
      <c r="Q241" s="9">
        <v>0.30099999999999999</v>
      </c>
      <c r="R241" s="9">
        <v>4.4142400000000004</v>
      </c>
      <c r="S241" s="9">
        <v>-68.900000000000006</v>
      </c>
      <c r="T241" s="9">
        <v>1.53</v>
      </c>
      <c r="U241" s="9">
        <v>3.7000000000000002E-3</v>
      </c>
      <c r="V241" s="9">
        <v>4.7</v>
      </c>
      <c r="W241" s="9">
        <v>0.06</v>
      </c>
    </row>
    <row r="242" spans="1:23" x14ac:dyDescent="0.3">
      <c r="A242" s="4">
        <v>162</v>
      </c>
      <c r="B242" s="5" t="s">
        <v>130</v>
      </c>
      <c r="C242" s="5">
        <v>2</v>
      </c>
      <c r="D242" s="5" t="str">
        <f t="shared" si="3"/>
        <v>162,2015-2020,2</v>
      </c>
      <c r="E242" s="6">
        <v>0.52300000000000002</v>
      </c>
      <c r="F242" s="6">
        <v>12.1</v>
      </c>
      <c r="G242" s="6">
        <v>0.49399999999999999</v>
      </c>
      <c r="H242" s="6">
        <v>2.2999999999999998</v>
      </c>
      <c r="I242" s="6">
        <v>3.3</v>
      </c>
      <c r="J242" s="6">
        <v>2.2999999999999998</v>
      </c>
      <c r="K242" s="6">
        <v>0</v>
      </c>
      <c r="L242" s="6">
        <v>5.2</v>
      </c>
      <c r="M242" s="6">
        <v>-9.98</v>
      </c>
      <c r="N242" s="6">
        <v>4</v>
      </c>
      <c r="O242" s="6">
        <v>0.3695</v>
      </c>
      <c r="P242" s="6">
        <v>-3.3</v>
      </c>
      <c r="Q242" s="6">
        <v>0.27500000000000002</v>
      </c>
      <c r="R242" s="6">
        <v>7.3727200000000002</v>
      </c>
      <c r="S242" s="6">
        <v>-199</v>
      </c>
      <c r="T242" s="6">
        <v>1.65</v>
      </c>
      <c r="U242" s="6">
        <v>3.7000000000000002E-3</v>
      </c>
      <c r="V242" s="6">
        <v>4.7</v>
      </c>
      <c r="W242" s="6">
        <v>0.06</v>
      </c>
    </row>
    <row r="243" spans="1:23" x14ac:dyDescent="0.3">
      <c r="A243" s="7">
        <v>162</v>
      </c>
      <c r="B243" s="8" t="s">
        <v>131</v>
      </c>
      <c r="C243" s="8">
        <v>2</v>
      </c>
      <c r="D243" s="8" t="str">
        <f t="shared" si="3"/>
        <v>162,2020-,2</v>
      </c>
      <c r="E243" s="9">
        <v>0.56499999999999995</v>
      </c>
      <c r="F243" s="9">
        <v>2.75</v>
      </c>
      <c r="G243" s="9">
        <v>0.496</v>
      </c>
      <c r="H243" s="9">
        <v>2</v>
      </c>
      <c r="I243" s="9">
        <v>3.8</v>
      </c>
      <c r="J243" s="9">
        <v>-28.9</v>
      </c>
      <c r="K243" s="9">
        <v>0</v>
      </c>
      <c r="L243" s="9">
        <v>4.5999999999999996</v>
      </c>
      <c r="M243" s="9">
        <v>1.53</v>
      </c>
      <c r="N243" s="9">
        <v>4.0199999999999996</v>
      </c>
      <c r="O243" s="9">
        <v>0.37869999999999998</v>
      </c>
      <c r="P243" s="9">
        <v>-7.6</v>
      </c>
      <c r="Q243" s="9">
        <v>0.16300000000000001</v>
      </c>
      <c r="R243" s="9">
        <v>5.9991399999999997</v>
      </c>
      <c r="S243" s="9">
        <v>-124</v>
      </c>
      <c r="T243" s="9">
        <v>1.83</v>
      </c>
      <c r="U243" s="9">
        <v>3.7000000000000002E-3</v>
      </c>
      <c r="V243" s="9">
        <v>4.7</v>
      </c>
      <c r="W243" s="9">
        <v>0.06</v>
      </c>
    </row>
    <row r="244" spans="1:23" x14ac:dyDescent="0.3">
      <c r="A244" s="4">
        <v>162</v>
      </c>
      <c r="B244" s="5">
        <v>-1920</v>
      </c>
      <c r="C244" s="5">
        <v>3</v>
      </c>
      <c r="D244" s="5" t="str">
        <f t="shared" si="3"/>
        <v>162,-1920,3</v>
      </c>
      <c r="E244" s="6">
        <v>0.25600000000000001</v>
      </c>
      <c r="F244" s="6">
        <v>53.6</v>
      </c>
      <c r="G244" s="6">
        <v>0.30399999999999999</v>
      </c>
      <c r="H244" s="6">
        <v>2.4</v>
      </c>
      <c r="I244" s="6">
        <v>0.4</v>
      </c>
      <c r="J244" s="6">
        <v>225.1</v>
      </c>
      <c r="K244" s="6">
        <v>0</v>
      </c>
      <c r="L244" s="6">
        <v>6.12</v>
      </c>
      <c r="M244" s="6">
        <v>-10.4</v>
      </c>
      <c r="N244" s="6">
        <v>3.96</v>
      </c>
      <c r="O244" s="6">
        <v>0.5373</v>
      </c>
      <c r="P244" s="6">
        <v>-4.5</v>
      </c>
      <c r="Q244" s="6">
        <v>0.36699999999999999</v>
      </c>
      <c r="R244" s="6">
        <v>10.1</v>
      </c>
      <c r="S244" s="6">
        <v>-241</v>
      </c>
      <c r="T244" s="6">
        <v>1.33</v>
      </c>
      <c r="U244" s="6">
        <v>3.7000000000000002E-3</v>
      </c>
      <c r="V244" s="6">
        <v>4.7</v>
      </c>
      <c r="W244" s="6">
        <v>0.06</v>
      </c>
    </row>
    <row r="245" spans="1:23" x14ac:dyDescent="0.3">
      <c r="A245" s="7">
        <v>162</v>
      </c>
      <c r="B245" s="8" t="s">
        <v>111</v>
      </c>
      <c r="C245" s="8">
        <v>3</v>
      </c>
      <c r="D245" s="8" t="str">
        <f t="shared" si="3"/>
        <v>162,1920-1925,3</v>
      </c>
      <c r="E245" s="9">
        <v>0.25600000000000001</v>
      </c>
      <c r="F245" s="9">
        <v>53.6</v>
      </c>
      <c r="G245" s="9">
        <v>0.30399999999999999</v>
      </c>
      <c r="H245" s="9">
        <v>2.4</v>
      </c>
      <c r="I245" s="9">
        <v>0.8</v>
      </c>
      <c r="J245" s="9">
        <v>218.6</v>
      </c>
      <c r="K245" s="9">
        <v>0</v>
      </c>
      <c r="L245" s="9">
        <v>5.65</v>
      </c>
      <c r="M245" s="9">
        <v>-10.4</v>
      </c>
      <c r="N245" s="9">
        <v>4</v>
      </c>
      <c r="O245" s="9">
        <v>0.54369999999999996</v>
      </c>
      <c r="P245" s="9">
        <v>-11.6</v>
      </c>
      <c r="Q245" s="9">
        <v>0.33300000000000002</v>
      </c>
      <c r="R245" s="9">
        <v>2.52</v>
      </c>
      <c r="S245" s="9">
        <v>-10.3</v>
      </c>
      <c r="T245" s="9">
        <v>1.77</v>
      </c>
      <c r="U245" s="9">
        <v>3.7000000000000002E-3</v>
      </c>
      <c r="V245" s="9">
        <v>4.7</v>
      </c>
      <c r="W245" s="9">
        <v>0.06</v>
      </c>
    </row>
    <row r="246" spans="1:23" x14ac:dyDescent="0.3">
      <c r="A246" s="4">
        <v>162</v>
      </c>
      <c r="B246" s="5" t="s">
        <v>112</v>
      </c>
      <c r="C246" s="5">
        <v>3</v>
      </c>
      <c r="D246" s="5" t="str">
        <f t="shared" si="3"/>
        <v>162,1925-1930,3</v>
      </c>
      <c r="E246" s="6">
        <v>0.25600000000000001</v>
      </c>
      <c r="F246" s="6">
        <v>53.6</v>
      </c>
      <c r="G246" s="6">
        <v>0.30399999999999999</v>
      </c>
      <c r="H246" s="6">
        <v>2.5</v>
      </c>
      <c r="I246" s="6">
        <v>0.4</v>
      </c>
      <c r="J246" s="6">
        <v>229.2</v>
      </c>
      <c r="K246" s="6">
        <v>0</v>
      </c>
      <c r="L246" s="6">
        <v>5.16</v>
      </c>
      <c r="M246" s="6">
        <v>-7.24</v>
      </c>
      <c r="N246" s="6">
        <v>3.98</v>
      </c>
      <c r="O246" s="6">
        <v>0.55530000000000002</v>
      </c>
      <c r="P246" s="6">
        <v>-18</v>
      </c>
      <c r="Q246" s="6">
        <v>0.28100000000000003</v>
      </c>
      <c r="R246" s="6">
        <v>4.63</v>
      </c>
      <c r="S246" s="6">
        <v>-22.8</v>
      </c>
      <c r="T246" s="6">
        <v>2.04</v>
      </c>
      <c r="U246" s="6">
        <v>3.7000000000000002E-3</v>
      </c>
      <c r="V246" s="6">
        <v>4.7</v>
      </c>
      <c r="W246" s="6">
        <v>0.06</v>
      </c>
    </row>
    <row r="247" spans="1:23" x14ac:dyDescent="0.3">
      <c r="A247" s="7">
        <v>162</v>
      </c>
      <c r="B247" s="8" t="s">
        <v>113</v>
      </c>
      <c r="C247" s="8">
        <v>3</v>
      </c>
      <c r="D247" s="8" t="str">
        <f t="shared" si="3"/>
        <v>162,1930-1935,3</v>
      </c>
      <c r="E247" s="9">
        <v>0.25600000000000001</v>
      </c>
      <c r="F247" s="9">
        <v>53.6</v>
      </c>
      <c r="G247" s="9">
        <v>0.30399999999999999</v>
      </c>
      <c r="H247" s="9">
        <v>2.5</v>
      </c>
      <c r="I247" s="9">
        <v>3</v>
      </c>
      <c r="J247" s="9">
        <v>5.0999999999999996</v>
      </c>
      <c r="K247" s="9">
        <v>0</v>
      </c>
      <c r="L247" s="9">
        <v>5.12</v>
      </c>
      <c r="M247" s="9">
        <v>-6.39</v>
      </c>
      <c r="N247" s="9">
        <v>3.98</v>
      </c>
      <c r="O247" s="9">
        <v>0.42230000000000001</v>
      </c>
      <c r="P247" s="9">
        <v>7.6</v>
      </c>
      <c r="Q247" s="9">
        <v>0.35099999999999998</v>
      </c>
      <c r="R247" s="9">
        <v>2.5499999999999998</v>
      </c>
      <c r="S247" s="9">
        <v>-16.3</v>
      </c>
      <c r="T247" s="9">
        <v>1.68</v>
      </c>
      <c r="U247" s="9">
        <v>3.7000000000000002E-3</v>
      </c>
      <c r="V247" s="9">
        <v>4.7</v>
      </c>
      <c r="W247" s="9">
        <v>0.06</v>
      </c>
    </row>
    <row r="248" spans="1:23" x14ac:dyDescent="0.3">
      <c r="A248" s="4">
        <v>162</v>
      </c>
      <c r="B248" s="5" t="s">
        <v>114</v>
      </c>
      <c r="C248" s="5">
        <v>3</v>
      </c>
      <c r="D248" s="5" t="str">
        <f t="shared" si="3"/>
        <v>162,1935-1940,3</v>
      </c>
      <c r="E248" s="6">
        <v>0.25600000000000001</v>
      </c>
      <c r="F248" s="6">
        <v>53.6</v>
      </c>
      <c r="G248" s="6">
        <v>0.30399999999999999</v>
      </c>
      <c r="H248" s="6">
        <v>2.2999999999999998</v>
      </c>
      <c r="I248" s="6">
        <v>3</v>
      </c>
      <c r="J248" s="6">
        <v>1.2</v>
      </c>
      <c r="K248" s="6">
        <v>0</v>
      </c>
      <c r="L248" s="6">
        <v>5.46</v>
      </c>
      <c r="M248" s="6">
        <v>-13.5</v>
      </c>
      <c r="N248" s="6">
        <v>4.12</v>
      </c>
      <c r="O248" s="6">
        <v>0.57650000000000001</v>
      </c>
      <c r="P248" s="6">
        <v>-16.3</v>
      </c>
      <c r="Q248" s="6">
        <v>0.371</v>
      </c>
      <c r="R248" s="6">
        <v>7.1</v>
      </c>
      <c r="S248" s="6">
        <v>-451</v>
      </c>
      <c r="T248" s="6">
        <v>2.0099999999999998</v>
      </c>
      <c r="U248" s="6">
        <v>3.7000000000000002E-3</v>
      </c>
      <c r="V248" s="6">
        <v>4.7</v>
      </c>
      <c r="W248" s="6">
        <v>0.06</v>
      </c>
    </row>
    <row r="249" spans="1:23" x14ac:dyDescent="0.3">
      <c r="A249" s="7">
        <v>162</v>
      </c>
      <c r="B249" s="8" t="s">
        <v>115</v>
      </c>
      <c r="C249" s="8">
        <v>3</v>
      </c>
      <c r="D249" s="8" t="str">
        <f t="shared" si="3"/>
        <v>162,1940-1945,3</v>
      </c>
      <c r="E249" s="9">
        <v>0.25600000000000001</v>
      </c>
      <c r="F249" s="9">
        <v>53.6</v>
      </c>
      <c r="G249" s="9">
        <v>0.30399999999999999</v>
      </c>
      <c r="H249" s="9">
        <v>2.4</v>
      </c>
      <c r="I249" s="9">
        <v>2.6</v>
      </c>
      <c r="J249" s="9">
        <v>44.3</v>
      </c>
      <c r="K249" s="9">
        <v>0</v>
      </c>
      <c r="L249" s="9">
        <v>6.3</v>
      </c>
      <c r="M249" s="9">
        <v>-23.1</v>
      </c>
      <c r="N249" s="9">
        <v>3.96</v>
      </c>
      <c r="O249" s="9">
        <v>0.62029999999999996</v>
      </c>
      <c r="P249" s="9">
        <v>-26.9</v>
      </c>
      <c r="Q249" s="9">
        <v>0.33900000000000002</v>
      </c>
      <c r="R249" s="9">
        <v>2.71</v>
      </c>
      <c r="S249" s="9">
        <v>-22.7</v>
      </c>
      <c r="T249" s="9">
        <v>2.15</v>
      </c>
      <c r="U249" s="9">
        <v>3.7000000000000002E-3</v>
      </c>
      <c r="V249" s="9">
        <v>4.7</v>
      </c>
      <c r="W249" s="9">
        <v>0.06</v>
      </c>
    </row>
    <row r="250" spans="1:23" x14ac:dyDescent="0.3">
      <c r="A250" s="4">
        <v>162</v>
      </c>
      <c r="B250" s="5" t="s">
        <v>116</v>
      </c>
      <c r="C250" s="5">
        <v>3</v>
      </c>
      <c r="D250" s="5" t="str">
        <f t="shared" si="3"/>
        <v>162,1945-1950,3</v>
      </c>
      <c r="E250" s="6">
        <v>0.25600000000000001</v>
      </c>
      <c r="F250" s="6">
        <v>53.6</v>
      </c>
      <c r="G250" s="6">
        <v>0.30399999999999999</v>
      </c>
      <c r="H250" s="6">
        <v>2.5</v>
      </c>
      <c r="I250" s="6">
        <v>2.6</v>
      </c>
      <c r="J250" s="6">
        <v>36.799999999999997</v>
      </c>
      <c r="K250" s="6">
        <v>0</v>
      </c>
      <c r="L250" s="6">
        <v>4.3899999999999997</v>
      </c>
      <c r="M250" s="6">
        <v>-2.1800000000000002</v>
      </c>
      <c r="N250" s="6">
        <v>4.1100000000000003</v>
      </c>
      <c r="O250" s="6">
        <v>0.50119999999999998</v>
      </c>
      <c r="P250" s="6">
        <v>-5.4</v>
      </c>
      <c r="Q250" s="6">
        <v>0.371</v>
      </c>
      <c r="R250" s="6">
        <v>5.1100000000000003</v>
      </c>
      <c r="S250" s="6">
        <v>-95</v>
      </c>
      <c r="T250" s="6">
        <v>1.63</v>
      </c>
      <c r="U250" s="6">
        <v>3.7000000000000002E-3</v>
      </c>
      <c r="V250" s="6">
        <v>4.7</v>
      </c>
      <c r="W250" s="6">
        <v>0.06</v>
      </c>
    </row>
    <row r="251" spans="1:23" x14ac:dyDescent="0.3">
      <c r="A251" s="7">
        <v>162</v>
      </c>
      <c r="B251" s="8" t="s">
        <v>117</v>
      </c>
      <c r="C251" s="8">
        <v>3</v>
      </c>
      <c r="D251" s="8" t="str">
        <f t="shared" si="3"/>
        <v>162,1950-1955,3</v>
      </c>
      <c r="E251" s="9">
        <v>0.25600000000000001</v>
      </c>
      <c r="F251" s="9">
        <v>53.6</v>
      </c>
      <c r="G251" s="9">
        <v>0.30399999999999999</v>
      </c>
      <c r="H251" s="9">
        <v>2.2999999999999998</v>
      </c>
      <c r="I251" s="9">
        <v>0.9</v>
      </c>
      <c r="J251" s="9">
        <v>195.8</v>
      </c>
      <c r="K251" s="9">
        <v>0</v>
      </c>
      <c r="L251" s="9">
        <v>4.74</v>
      </c>
      <c r="M251" s="9">
        <v>-3.66</v>
      </c>
      <c r="N251" s="9">
        <v>3.99</v>
      </c>
      <c r="O251" s="9">
        <v>0.66479999999999995</v>
      </c>
      <c r="P251" s="9">
        <v>-34.799999999999997</v>
      </c>
      <c r="Q251" s="9">
        <v>0.371</v>
      </c>
      <c r="R251" s="9">
        <v>3.08</v>
      </c>
      <c r="S251" s="9">
        <v>18</v>
      </c>
      <c r="T251" s="9">
        <v>1.52</v>
      </c>
      <c r="U251" s="9">
        <v>3.7000000000000002E-3</v>
      </c>
      <c r="V251" s="9">
        <v>4.7</v>
      </c>
      <c r="W251" s="9">
        <v>0.06</v>
      </c>
    </row>
    <row r="252" spans="1:23" x14ac:dyDescent="0.3">
      <c r="A252" s="4">
        <v>162</v>
      </c>
      <c r="B252" s="5" t="s">
        <v>118</v>
      </c>
      <c r="C252" s="5">
        <v>3</v>
      </c>
      <c r="D252" s="5" t="str">
        <f t="shared" si="3"/>
        <v>162,1955-1960,3</v>
      </c>
      <c r="E252" s="6">
        <v>0.25600000000000001</v>
      </c>
      <c r="F252" s="6">
        <v>53.6</v>
      </c>
      <c r="G252" s="6">
        <v>0.30399999999999999</v>
      </c>
      <c r="H252" s="6">
        <v>2</v>
      </c>
      <c r="I252" s="6">
        <v>0.3</v>
      </c>
      <c r="J252" s="6">
        <v>290.7</v>
      </c>
      <c r="K252" s="6">
        <v>0</v>
      </c>
      <c r="L252" s="6">
        <v>6.62</v>
      </c>
      <c r="M252" s="6">
        <v>-24.1</v>
      </c>
      <c r="N252" s="6">
        <v>4.0199999999999996</v>
      </c>
      <c r="O252" s="6">
        <v>0.54020000000000001</v>
      </c>
      <c r="P252" s="6">
        <v>-12.1</v>
      </c>
      <c r="Q252" s="6">
        <v>0.36399999999999999</v>
      </c>
      <c r="R252" s="6">
        <v>4.28</v>
      </c>
      <c r="S252" s="6">
        <v>-181</v>
      </c>
      <c r="T252" s="6">
        <v>2.0099999999999998</v>
      </c>
      <c r="U252" s="6">
        <v>3.7000000000000002E-3</v>
      </c>
      <c r="V252" s="6">
        <v>4.7</v>
      </c>
      <c r="W252" s="6">
        <v>0.06</v>
      </c>
    </row>
    <row r="253" spans="1:23" x14ac:dyDescent="0.3">
      <c r="A253" s="7">
        <v>162</v>
      </c>
      <c r="B253" s="8" t="s">
        <v>119</v>
      </c>
      <c r="C253" s="8">
        <v>3</v>
      </c>
      <c r="D253" s="8" t="str">
        <f t="shared" si="3"/>
        <v>162,1960-1965,3</v>
      </c>
      <c r="E253" s="9">
        <v>0.25600000000000001</v>
      </c>
      <c r="F253" s="9">
        <v>53.6</v>
      </c>
      <c r="G253" s="9">
        <v>0.30399999999999999</v>
      </c>
      <c r="H253" s="9">
        <v>2.1</v>
      </c>
      <c r="I253" s="9">
        <v>0.9</v>
      </c>
      <c r="J253" s="9">
        <v>210.4</v>
      </c>
      <c r="K253" s="9">
        <v>0</v>
      </c>
      <c r="L253" s="9">
        <v>5.57</v>
      </c>
      <c r="M253" s="9">
        <v>-9.41</v>
      </c>
      <c r="N253" s="9">
        <v>4.0599999999999996</v>
      </c>
      <c r="O253" s="9">
        <v>0.54330000000000001</v>
      </c>
      <c r="P253" s="9">
        <v>-17.3</v>
      </c>
      <c r="Q253" s="9">
        <v>0.28199999999999997</v>
      </c>
      <c r="R253" s="9">
        <v>3.46</v>
      </c>
      <c r="S253" s="9">
        <v>-101</v>
      </c>
      <c r="T253" s="9">
        <v>1.68</v>
      </c>
      <c r="U253" s="9">
        <v>3.7000000000000002E-3</v>
      </c>
      <c r="V253" s="9">
        <v>4.7</v>
      </c>
      <c r="W253" s="9">
        <v>0.06</v>
      </c>
    </row>
    <row r="254" spans="1:23" x14ac:dyDescent="0.3">
      <c r="A254" s="4">
        <v>162</v>
      </c>
      <c r="B254" s="5" t="s">
        <v>120</v>
      </c>
      <c r="C254" s="5">
        <v>3</v>
      </c>
      <c r="D254" s="5" t="str">
        <f t="shared" si="3"/>
        <v>162,1965-1970,3</v>
      </c>
      <c r="E254" s="6">
        <v>0.25600000000000001</v>
      </c>
      <c r="F254" s="6">
        <v>53.6</v>
      </c>
      <c r="G254" s="6">
        <v>0.30399999999999999</v>
      </c>
      <c r="H254" s="6">
        <v>1.1000000000000001</v>
      </c>
      <c r="I254" s="6">
        <v>0.1</v>
      </c>
      <c r="J254" s="6">
        <v>330.6</v>
      </c>
      <c r="K254" s="6">
        <v>0</v>
      </c>
      <c r="L254" s="6">
        <v>5.35</v>
      </c>
      <c r="M254" s="6">
        <v>-5.92</v>
      </c>
      <c r="N254" s="6">
        <v>3.98</v>
      </c>
      <c r="O254" s="6">
        <v>0.53280000000000005</v>
      </c>
      <c r="P254" s="6">
        <v>-13.1</v>
      </c>
      <c r="Q254" s="6">
        <v>0.36699999999999999</v>
      </c>
      <c r="R254" s="6">
        <v>3.5</v>
      </c>
      <c r="S254" s="6">
        <v>-124</v>
      </c>
      <c r="T254" s="6">
        <v>1.7</v>
      </c>
      <c r="U254" s="6">
        <v>3.7000000000000002E-3</v>
      </c>
      <c r="V254" s="6">
        <v>4.7</v>
      </c>
      <c r="W254" s="6">
        <v>0.06</v>
      </c>
    </row>
    <row r="255" spans="1:23" x14ac:dyDescent="0.3">
      <c r="A255" s="7">
        <v>162</v>
      </c>
      <c r="B255" s="8" t="s">
        <v>121</v>
      </c>
      <c r="C255" s="8">
        <v>3</v>
      </c>
      <c r="D255" s="8" t="str">
        <f t="shared" si="3"/>
        <v>162,1970-1975,3</v>
      </c>
      <c r="E255" s="9">
        <v>0.25600000000000001</v>
      </c>
      <c r="F255" s="9">
        <v>53.6</v>
      </c>
      <c r="G255" s="9">
        <v>0.30399999999999999</v>
      </c>
      <c r="H255" s="9">
        <v>2</v>
      </c>
      <c r="I255" s="9">
        <v>0.1</v>
      </c>
      <c r="J255" s="9">
        <v>320</v>
      </c>
      <c r="K255" s="9">
        <v>0</v>
      </c>
      <c r="L255" s="9">
        <v>4.9000000000000004</v>
      </c>
      <c r="M255" s="9">
        <v>4.7199999999999999E-2</v>
      </c>
      <c r="N255" s="9">
        <v>4</v>
      </c>
      <c r="O255" s="9">
        <v>0.63639999999999997</v>
      </c>
      <c r="P255" s="9">
        <v>-37.200000000000003</v>
      </c>
      <c r="Q255" s="9">
        <v>0.36699999999999999</v>
      </c>
      <c r="R255" s="9">
        <v>3.39</v>
      </c>
      <c r="S255" s="9">
        <v>-67.3</v>
      </c>
      <c r="T255" s="9">
        <v>1.68</v>
      </c>
      <c r="U255" s="9">
        <v>3.7000000000000002E-3</v>
      </c>
      <c r="V255" s="9">
        <v>4.7</v>
      </c>
      <c r="W255" s="9">
        <v>0.06</v>
      </c>
    </row>
    <row r="256" spans="1:23" x14ac:dyDescent="0.3">
      <c r="A256" s="4">
        <v>162</v>
      </c>
      <c r="B256" s="5" t="s">
        <v>122</v>
      </c>
      <c r="C256" s="5">
        <v>3</v>
      </c>
      <c r="D256" s="5" t="str">
        <f t="shared" si="3"/>
        <v>162,1975-1980,3</v>
      </c>
      <c r="E256" s="6">
        <v>0.25600000000000001</v>
      </c>
      <c r="F256" s="6">
        <v>53.6</v>
      </c>
      <c r="G256" s="6">
        <v>0.30399999999999999</v>
      </c>
      <c r="H256" s="6">
        <v>1.3</v>
      </c>
      <c r="I256" s="6">
        <v>1.6</v>
      </c>
      <c r="J256" s="6">
        <v>130.9</v>
      </c>
      <c r="K256" s="6">
        <v>0</v>
      </c>
      <c r="L256" s="6">
        <v>5.37</v>
      </c>
      <c r="M256" s="6">
        <v>-9.1300000000000008</v>
      </c>
      <c r="N256" s="6">
        <v>4</v>
      </c>
      <c r="O256" s="6">
        <v>0.49009999999999998</v>
      </c>
      <c r="P256" s="6">
        <v>-4</v>
      </c>
      <c r="Q256" s="6">
        <v>0.42</v>
      </c>
      <c r="R256" s="6">
        <v>3.54</v>
      </c>
      <c r="S256" s="6">
        <v>-65.8</v>
      </c>
      <c r="T256" s="6">
        <v>1.63</v>
      </c>
      <c r="U256" s="6">
        <v>3.7000000000000002E-3</v>
      </c>
      <c r="V256" s="6">
        <v>4.7</v>
      </c>
      <c r="W256" s="6">
        <v>0.06</v>
      </c>
    </row>
    <row r="257" spans="1:23" x14ac:dyDescent="0.3">
      <c r="A257" s="7">
        <v>162</v>
      </c>
      <c r="B257" s="8" t="s">
        <v>123</v>
      </c>
      <c r="C257" s="8">
        <v>3</v>
      </c>
      <c r="D257" s="8" t="str">
        <f t="shared" si="3"/>
        <v>162,1980-1985,3</v>
      </c>
      <c r="E257" s="9">
        <v>0.25600000000000001</v>
      </c>
      <c r="F257" s="9">
        <v>53.6</v>
      </c>
      <c r="G257" s="9">
        <v>0.30399999999999999</v>
      </c>
      <c r="H257" s="9">
        <v>2</v>
      </c>
      <c r="I257" s="9">
        <v>1.2</v>
      </c>
      <c r="J257" s="9">
        <v>153</v>
      </c>
      <c r="K257" s="9">
        <v>0</v>
      </c>
      <c r="L257" s="9">
        <v>5.37</v>
      </c>
      <c r="M257" s="9">
        <v>-7.54</v>
      </c>
      <c r="N257" s="9">
        <v>4.01</v>
      </c>
      <c r="O257" s="9">
        <v>0.81279999999999997</v>
      </c>
      <c r="P257" s="9">
        <v>-68.3</v>
      </c>
      <c r="Q257" s="9">
        <v>0.436</v>
      </c>
      <c r="R257" s="9">
        <v>4.66</v>
      </c>
      <c r="S257" s="9">
        <v>-132</v>
      </c>
      <c r="T257" s="9">
        <v>1.62</v>
      </c>
      <c r="U257" s="9">
        <v>3.7000000000000002E-3</v>
      </c>
      <c r="V257" s="9">
        <v>4.7</v>
      </c>
      <c r="W257" s="9">
        <v>0.06</v>
      </c>
    </row>
    <row r="258" spans="1:23" x14ac:dyDescent="0.3">
      <c r="A258" s="4">
        <v>162</v>
      </c>
      <c r="B258" s="5" t="s">
        <v>124</v>
      </c>
      <c r="C258" s="5">
        <v>3</v>
      </c>
      <c r="D258" s="5" t="str">
        <f t="shared" si="3"/>
        <v>162,1985-1990,3</v>
      </c>
      <c r="E258" s="6">
        <v>0.25600000000000001</v>
      </c>
      <c r="F258" s="6">
        <v>53.6</v>
      </c>
      <c r="G258" s="6">
        <v>0.30399999999999999</v>
      </c>
      <c r="H258" s="6">
        <v>2.1</v>
      </c>
      <c r="I258" s="6">
        <v>2.8</v>
      </c>
      <c r="J258" s="6">
        <v>8.1</v>
      </c>
      <c r="K258" s="6">
        <v>0</v>
      </c>
      <c r="L258" s="6">
        <v>5.2</v>
      </c>
      <c r="M258" s="6">
        <v>-6.44</v>
      </c>
      <c r="N258" s="6">
        <v>4</v>
      </c>
      <c r="O258" s="6">
        <v>0.31790000000000002</v>
      </c>
      <c r="P258" s="6">
        <v>50</v>
      </c>
      <c r="Q258" s="6">
        <v>0.432</v>
      </c>
      <c r="R258" s="6">
        <v>4.91</v>
      </c>
      <c r="S258" s="6">
        <v>-118</v>
      </c>
      <c r="T258" s="6">
        <v>1.62</v>
      </c>
      <c r="U258" s="6">
        <v>3.7000000000000002E-3</v>
      </c>
      <c r="V258" s="6">
        <v>4.7</v>
      </c>
      <c r="W258" s="6">
        <v>0.06</v>
      </c>
    </row>
    <row r="259" spans="1:23" x14ac:dyDescent="0.3">
      <c r="A259" s="7">
        <v>162</v>
      </c>
      <c r="B259" s="8" t="s">
        <v>125</v>
      </c>
      <c r="C259" s="8">
        <v>3</v>
      </c>
      <c r="D259" s="8" t="str">
        <f t="shared" ref="D259:D322" si="4">CONCATENATE(A259,",",B259,",",C259)</f>
        <v>162,1990-1995,3</v>
      </c>
      <c r="E259" s="9">
        <v>0.25600000000000001</v>
      </c>
      <c r="F259" s="9">
        <v>53.6</v>
      </c>
      <c r="G259" s="9">
        <v>0.30399999999999999</v>
      </c>
      <c r="H259" s="9">
        <v>2.2000000000000002</v>
      </c>
      <c r="I259" s="9">
        <v>3.1</v>
      </c>
      <c r="J259" s="9">
        <v>-7</v>
      </c>
      <c r="K259" s="9">
        <v>0</v>
      </c>
      <c r="L259" s="9">
        <v>5.91</v>
      </c>
      <c r="M259" s="9">
        <v>-11.8</v>
      </c>
      <c r="N259" s="9">
        <v>4</v>
      </c>
      <c r="O259" s="9">
        <v>0.52759999999999996</v>
      </c>
      <c r="P259" s="9">
        <v>7.2</v>
      </c>
      <c r="Q259" s="9">
        <v>0.46200000000000002</v>
      </c>
      <c r="R259" s="9">
        <v>2.98</v>
      </c>
      <c r="S259" s="9">
        <v>-22.3</v>
      </c>
      <c r="T259" s="9">
        <v>1.61</v>
      </c>
      <c r="U259" s="9">
        <v>3.7000000000000002E-3</v>
      </c>
      <c r="V259" s="9">
        <v>4.7</v>
      </c>
      <c r="W259" s="9">
        <v>0.06</v>
      </c>
    </row>
    <row r="260" spans="1:23" x14ac:dyDescent="0.3">
      <c r="A260" s="4">
        <v>162</v>
      </c>
      <c r="B260" s="5" t="s">
        <v>126</v>
      </c>
      <c r="C260" s="5">
        <v>3</v>
      </c>
      <c r="D260" s="5" t="str">
        <f t="shared" si="4"/>
        <v>162,1995-2000,3</v>
      </c>
      <c r="E260" s="6">
        <v>0.25600000000000001</v>
      </c>
      <c r="F260" s="6">
        <v>53.6</v>
      </c>
      <c r="G260" s="6">
        <v>0.30399999999999999</v>
      </c>
      <c r="H260" s="6">
        <v>2.2999999999999998</v>
      </c>
      <c r="I260" s="6">
        <v>3.3</v>
      </c>
      <c r="J260" s="6">
        <v>-15.7</v>
      </c>
      <c r="K260" s="6">
        <v>0</v>
      </c>
      <c r="L260" s="6">
        <v>4.9000000000000004</v>
      </c>
      <c r="M260" s="6">
        <v>-2.71</v>
      </c>
      <c r="N260" s="6">
        <v>4</v>
      </c>
      <c r="O260" s="6">
        <v>0.17899999999999999</v>
      </c>
      <c r="P260" s="6">
        <v>0</v>
      </c>
      <c r="Q260" s="6">
        <v>0.17899999999999999</v>
      </c>
      <c r="R260" s="6">
        <v>5.23</v>
      </c>
      <c r="S260" s="6">
        <v>-132</v>
      </c>
      <c r="T260" s="6">
        <v>1.57</v>
      </c>
      <c r="U260" s="6">
        <v>3.7000000000000002E-3</v>
      </c>
      <c r="V260" s="6">
        <v>4.7</v>
      </c>
      <c r="W260" s="6">
        <v>0.06</v>
      </c>
    </row>
    <row r="261" spans="1:23" x14ac:dyDescent="0.3">
      <c r="A261" s="7">
        <v>162</v>
      </c>
      <c r="B261" s="8" t="s">
        <v>127</v>
      </c>
      <c r="C261" s="8">
        <v>3</v>
      </c>
      <c r="D261" s="8" t="str">
        <f t="shared" si="4"/>
        <v>162,2000-2005,3</v>
      </c>
      <c r="E261" s="9">
        <v>0.25600000000000001</v>
      </c>
      <c r="F261" s="9">
        <v>53.6</v>
      </c>
      <c r="G261" s="9">
        <v>0.30399999999999999</v>
      </c>
      <c r="H261" s="9">
        <v>2.2999999999999998</v>
      </c>
      <c r="I261" s="9">
        <v>3.2</v>
      </c>
      <c r="J261" s="9">
        <v>-8</v>
      </c>
      <c r="K261" s="9">
        <v>0</v>
      </c>
      <c r="L261" s="9">
        <v>6.37</v>
      </c>
      <c r="M261" s="9">
        <v>-19.899999999999999</v>
      </c>
      <c r="N261" s="9">
        <v>4</v>
      </c>
      <c r="O261" s="9">
        <v>0.43169999999999997</v>
      </c>
      <c r="P261" s="9">
        <v>6</v>
      </c>
      <c r="Q261" s="9">
        <v>0.17199999999999999</v>
      </c>
      <c r="R261" s="9">
        <v>5.32</v>
      </c>
      <c r="S261" s="9">
        <v>-141</v>
      </c>
      <c r="T261" s="9">
        <v>1.67</v>
      </c>
      <c r="U261" s="9">
        <v>3.7000000000000002E-3</v>
      </c>
      <c r="V261" s="9">
        <v>4.7</v>
      </c>
      <c r="W261" s="9">
        <v>0.06</v>
      </c>
    </row>
    <row r="262" spans="1:23" x14ac:dyDescent="0.3">
      <c r="A262" s="4">
        <v>162</v>
      </c>
      <c r="B262" s="5" t="s">
        <v>128</v>
      </c>
      <c r="C262" s="5">
        <v>3</v>
      </c>
      <c r="D262" s="5" t="str">
        <f t="shared" si="4"/>
        <v>162,2005-2010,3</v>
      </c>
      <c r="E262" s="6">
        <v>0.25600000000000001</v>
      </c>
      <c r="F262" s="6">
        <v>53.6</v>
      </c>
      <c r="G262" s="6">
        <v>0.30399999999999999</v>
      </c>
      <c r="H262" s="6">
        <v>2.2999999999999998</v>
      </c>
      <c r="I262" s="6">
        <v>3.2</v>
      </c>
      <c r="J262" s="6">
        <v>-5.0999999999999996</v>
      </c>
      <c r="K262" s="6">
        <v>0</v>
      </c>
      <c r="L262" s="6">
        <v>6.22</v>
      </c>
      <c r="M262" s="6">
        <v>-18.600000000000001</v>
      </c>
      <c r="N262" s="6">
        <v>3.99</v>
      </c>
      <c r="O262" s="6">
        <v>0.43559999999999999</v>
      </c>
      <c r="P262" s="6">
        <v>7.4</v>
      </c>
      <c r="Q262" s="6">
        <v>0.26900000000000002</v>
      </c>
      <c r="R262" s="6">
        <v>5.13</v>
      </c>
      <c r="S262" s="6">
        <v>-126</v>
      </c>
      <c r="T262" s="6">
        <v>1.6</v>
      </c>
      <c r="U262" s="6">
        <v>3.7000000000000002E-3</v>
      </c>
      <c r="V262" s="6">
        <v>4.7</v>
      </c>
      <c r="W262" s="6">
        <v>0.06</v>
      </c>
    </row>
    <row r="263" spans="1:23" x14ac:dyDescent="0.3">
      <c r="A263" s="7">
        <v>162</v>
      </c>
      <c r="B263" s="8" t="s">
        <v>129</v>
      </c>
      <c r="C263" s="8">
        <v>3</v>
      </c>
      <c r="D263" s="8" t="str">
        <f t="shared" si="4"/>
        <v>162,2010-2015,3</v>
      </c>
      <c r="E263" s="9">
        <v>0.25600000000000001</v>
      </c>
      <c r="F263" s="9">
        <v>53.6</v>
      </c>
      <c r="G263" s="9">
        <v>0.30399999999999999</v>
      </c>
      <c r="H263" s="9">
        <v>2.4</v>
      </c>
      <c r="I263" s="9">
        <v>3.5</v>
      </c>
      <c r="J263" s="9">
        <v>-13.9</v>
      </c>
      <c r="K263" s="9">
        <v>0</v>
      </c>
      <c r="L263" s="9">
        <v>6.31</v>
      </c>
      <c r="M263" s="9">
        <v>-20.8</v>
      </c>
      <c r="N263" s="9">
        <v>3.96</v>
      </c>
      <c r="O263" s="9">
        <v>0.43680000000000002</v>
      </c>
      <c r="P263" s="9">
        <v>12.2</v>
      </c>
      <c r="Q263" s="9">
        <v>0.32200000000000001</v>
      </c>
      <c r="R263" s="9">
        <v>3.76</v>
      </c>
      <c r="S263" s="9">
        <v>-68.900000000000006</v>
      </c>
      <c r="T263" s="9">
        <v>1.53</v>
      </c>
      <c r="U263" s="9">
        <v>3.7000000000000002E-3</v>
      </c>
      <c r="V263" s="9">
        <v>4.7</v>
      </c>
      <c r="W263" s="9">
        <v>0.06</v>
      </c>
    </row>
    <row r="264" spans="1:23" x14ac:dyDescent="0.3">
      <c r="A264" s="4">
        <v>162</v>
      </c>
      <c r="B264" s="5" t="s">
        <v>130</v>
      </c>
      <c r="C264" s="5">
        <v>3</v>
      </c>
      <c r="D264" s="5" t="str">
        <f t="shared" si="4"/>
        <v>162,2015-2020,3</v>
      </c>
      <c r="E264" s="6">
        <v>0.25600000000000001</v>
      </c>
      <c r="F264" s="6">
        <v>53.6</v>
      </c>
      <c r="G264" s="6">
        <v>0.30399999999999999</v>
      </c>
      <c r="H264" s="6">
        <v>2.2999999999999998</v>
      </c>
      <c r="I264" s="6">
        <v>3.3</v>
      </c>
      <c r="J264" s="6">
        <v>2.2999999999999998</v>
      </c>
      <c r="K264" s="6">
        <v>0</v>
      </c>
      <c r="L264" s="6">
        <v>5.2</v>
      </c>
      <c r="M264" s="6">
        <v>-9.98</v>
      </c>
      <c r="N264" s="6">
        <v>4</v>
      </c>
      <c r="O264" s="6">
        <v>0.40279999999999999</v>
      </c>
      <c r="P264" s="6">
        <v>19.899999999999999</v>
      </c>
      <c r="Q264" s="6">
        <v>0.314</v>
      </c>
      <c r="R264" s="6">
        <v>6.28</v>
      </c>
      <c r="S264" s="6">
        <v>-199</v>
      </c>
      <c r="T264" s="6">
        <v>1.65</v>
      </c>
      <c r="U264" s="6">
        <v>3.7000000000000002E-3</v>
      </c>
      <c r="V264" s="6">
        <v>4.7</v>
      </c>
      <c r="W264" s="6">
        <v>0.06</v>
      </c>
    </row>
    <row r="265" spans="1:23" x14ac:dyDescent="0.3">
      <c r="A265" s="7">
        <v>162</v>
      </c>
      <c r="B265" s="8" t="s">
        <v>131</v>
      </c>
      <c r="C265" s="8">
        <v>3</v>
      </c>
      <c r="D265" s="8" t="str">
        <f t="shared" si="4"/>
        <v>162,2020-,3</v>
      </c>
      <c r="E265" s="9">
        <v>0.25600000000000001</v>
      </c>
      <c r="F265" s="9">
        <v>53.6</v>
      </c>
      <c r="G265" s="9">
        <v>0.30399999999999999</v>
      </c>
      <c r="H265" s="9">
        <v>2</v>
      </c>
      <c r="I265" s="9">
        <v>3.8</v>
      </c>
      <c r="J265" s="9">
        <v>-28.9</v>
      </c>
      <c r="K265" s="9">
        <v>0</v>
      </c>
      <c r="L265" s="9">
        <v>4.5999999999999996</v>
      </c>
      <c r="M265" s="9">
        <v>1.53</v>
      </c>
      <c r="N265" s="9">
        <v>4.0199999999999996</v>
      </c>
      <c r="O265" s="9">
        <v>0.40279999999999999</v>
      </c>
      <c r="P265" s="9">
        <v>19.899999999999999</v>
      </c>
      <c r="Q265" s="9">
        <v>0.314</v>
      </c>
      <c r="R265" s="9">
        <v>5.1100000000000003</v>
      </c>
      <c r="S265" s="9">
        <v>-124</v>
      </c>
      <c r="T265" s="9">
        <v>1.83</v>
      </c>
      <c r="U265" s="9">
        <v>3.7000000000000002E-3</v>
      </c>
      <c r="V265" s="9">
        <v>4.7</v>
      </c>
      <c r="W265" s="9">
        <v>0.06</v>
      </c>
    </row>
    <row r="266" spans="1:23" x14ac:dyDescent="0.3">
      <c r="A266" s="4">
        <v>941</v>
      </c>
      <c r="B266" s="5">
        <v>-1920</v>
      </c>
      <c r="C266" s="5">
        <v>1</v>
      </c>
      <c r="D266" s="5" t="str">
        <f t="shared" si="4"/>
        <v>941,-1920,1</v>
      </c>
      <c r="E266" s="6">
        <v>0.94</v>
      </c>
      <c r="F266" s="6">
        <v>0</v>
      </c>
      <c r="G266" s="6">
        <v>0.59399999999999997</v>
      </c>
      <c r="H266" s="6">
        <v>2</v>
      </c>
      <c r="I266" s="6">
        <v>3</v>
      </c>
      <c r="J266" s="6">
        <v>-5.0999999999999996</v>
      </c>
      <c r="K266" s="6">
        <v>0</v>
      </c>
      <c r="L266" s="6">
        <v>4.97</v>
      </c>
      <c r="M266" s="6">
        <v>-3.42</v>
      </c>
      <c r="N266" s="6">
        <v>3.92</v>
      </c>
      <c r="O266" s="6">
        <v>0</v>
      </c>
      <c r="P266" s="6">
        <v>0</v>
      </c>
      <c r="Q266" s="6">
        <v>0</v>
      </c>
      <c r="R266" s="6">
        <v>2.75</v>
      </c>
      <c r="S266" s="6">
        <v>-23.9</v>
      </c>
      <c r="T266" s="6">
        <v>1.27</v>
      </c>
      <c r="U266" s="6">
        <v>4.4000000000000003E-3</v>
      </c>
      <c r="V266" s="6">
        <v>4.5999999999999996</v>
      </c>
      <c r="W266" s="6">
        <v>5.8000000000000003E-2</v>
      </c>
    </row>
    <row r="267" spans="1:23" x14ac:dyDescent="0.3">
      <c r="A267" s="7">
        <v>941</v>
      </c>
      <c r="B267" s="8" t="s">
        <v>111</v>
      </c>
      <c r="C267" s="8">
        <v>1</v>
      </c>
      <c r="D267" s="8" t="str">
        <f t="shared" si="4"/>
        <v>941,1920-1925,1</v>
      </c>
      <c r="E267" s="9">
        <v>0.94</v>
      </c>
      <c r="F267" s="9">
        <v>0</v>
      </c>
      <c r="G267" s="9">
        <v>0.59399999999999997</v>
      </c>
      <c r="H267" s="9">
        <v>2</v>
      </c>
      <c r="I267" s="9">
        <v>3</v>
      </c>
      <c r="J267" s="9">
        <v>-4.9000000000000004</v>
      </c>
      <c r="K267" s="9">
        <v>0</v>
      </c>
      <c r="L267" s="9">
        <v>6.14</v>
      </c>
      <c r="M267" s="9">
        <v>-10.4</v>
      </c>
      <c r="N267" s="9">
        <v>3.94</v>
      </c>
      <c r="O267" s="9">
        <v>0</v>
      </c>
      <c r="P267" s="9">
        <v>0</v>
      </c>
      <c r="Q267" s="9">
        <v>0</v>
      </c>
      <c r="R267" s="9">
        <v>1.89</v>
      </c>
      <c r="S267" s="9">
        <v>4.29</v>
      </c>
      <c r="T267" s="9">
        <v>1.63</v>
      </c>
      <c r="U267" s="9">
        <v>4.4000000000000003E-3</v>
      </c>
      <c r="V267" s="9">
        <v>4.5999999999999996</v>
      </c>
      <c r="W267" s="9">
        <v>5.8000000000000003E-2</v>
      </c>
    </row>
    <row r="268" spans="1:23" x14ac:dyDescent="0.3">
      <c r="A268" s="4">
        <v>941</v>
      </c>
      <c r="B268" s="5" t="s">
        <v>112</v>
      </c>
      <c r="C268" s="5">
        <v>1</v>
      </c>
      <c r="D268" s="5" t="str">
        <f t="shared" si="4"/>
        <v>941,1925-1930,1</v>
      </c>
      <c r="E268" s="6">
        <v>0.94</v>
      </c>
      <c r="F268" s="6">
        <v>0</v>
      </c>
      <c r="G268" s="6">
        <v>0.59399999999999997</v>
      </c>
      <c r="H268" s="6">
        <v>2</v>
      </c>
      <c r="I268" s="6">
        <v>2.9</v>
      </c>
      <c r="J268" s="6">
        <v>-0.4</v>
      </c>
      <c r="K268" s="6">
        <v>0</v>
      </c>
      <c r="L268" s="6">
        <v>5.29</v>
      </c>
      <c r="M268" s="6">
        <v>-5.37</v>
      </c>
      <c r="N268" s="6">
        <v>3.97</v>
      </c>
      <c r="O268" s="6">
        <v>0</v>
      </c>
      <c r="P268" s="6">
        <v>0</v>
      </c>
      <c r="Q268" s="6">
        <v>0</v>
      </c>
      <c r="R268" s="6">
        <v>2.54</v>
      </c>
      <c r="S268" s="6">
        <v>-13.3</v>
      </c>
      <c r="T268" s="6">
        <v>1.89</v>
      </c>
      <c r="U268" s="6">
        <v>4.4000000000000003E-3</v>
      </c>
      <c r="V268" s="6">
        <v>4.5999999999999996</v>
      </c>
      <c r="W268" s="6">
        <v>5.8000000000000003E-2</v>
      </c>
    </row>
    <row r="269" spans="1:23" x14ac:dyDescent="0.3">
      <c r="A269" s="7">
        <v>941</v>
      </c>
      <c r="B269" s="8" t="s">
        <v>113</v>
      </c>
      <c r="C269" s="8">
        <v>1</v>
      </c>
      <c r="D269" s="8" t="str">
        <f t="shared" si="4"/>
        <v>941,1930-1935,1</v>
      </c>
      <c r="E269" s="9">
        <v>0.94</v>
      </c>
      <c r="F269" s="9">
        <v>0</v>
      </c>
      <c r="G269" s="9">
        <v>0.59399999999999997</v>
      </c>
      <c r="H269" s="9">
        <v>2</v>
      </c>
      <c r="I269" s="9">
        <v>3.3</v>
      </c>
      <c r="J269" s="9">
        <v>-10.8</v>
      </c>
      <c r="K269" s="9">
        <v>0</v>
      </c>
      <c r="L269" s="9">
        <v>4.8600000000000003</v>
      </c>
      <c r="M269" s="9">
        <v>-3.1</v>
      </c>
      <c r="N269" s="9">
        <v>3.96</v>
      </c>
      <c r="O269" s="9">
        <v>0</v>
      </c>
      <c r="P269" s="9">
        <v>0</v>
      </c>
      <c r="Q269" s="9">
        <v>0</v>
      </c>
      <c r="R269" s="9">
        <v>2.62</v>
      </c>
      <c r="S269" s="9">
        <v>-14.4</v>
      </c>
      <c r="T269" s="9">
        <v>1.94</v>
      </c>
      <c r="U269" s="9">
        <v>4.4000000000000003E-3</v>
      </c>
      <c r="V269" s="9">
        <v>4.5999999999999996</v>
      </c>
      <c r="W269" s="9">
        <v>5.8000000000000003E-2</v>
      </c>
    </row>
    <row r="270" spans="1:23" x14ac:dyDescent="0.3">
      <c r="A270" s="4">
        <v>941</v>
      </c>
      <c r="B270" s="5" t="s">
        <v>114</v>
      </c>
      <c r="C270" s="5">
        <v>1</v>
      </c>
      <c r="D270" s="5" t="str">
        <f t="shared" si="4"/>
        <v>941,1935-1940,1</v>
      </c>
      <c r="E270" s="6">
        <v>0.94</v>
      </c>
      <c r="F270" s="6">
        <v>0</v>
      </c>
      <c r="G270" s="6">
        <v>0.59399999999999997</v>
      </c>
      <c r="H270" s="6">
        <v>2</v>
      </c>
      <c r="I270" s="6">
        <v>3</v>
      </c>
      <c r="J270" s="6">
        <v>-4.4000000000000004</v>
      </c>
      <c r="K270" s="6">
        <v>0</v>
      </c>
      <c r="L270" s="6">
        <v>4.62</v>
      </c>
      <c r="M270" s="6">
        <v>-0.91900000000000004</v>
      </c>
      <c r="N270" s="6">
        <v>3.96</v>
      </c>
      <c r="O270" s="6">
        <v>0</v>
      </c>
      <c r="P270" s="6">
        <v>0</v>
      </c>
      <c r="Q270" s="6">
        <v>0</v>
      </c>
      <c r="R270" s="6">
        <v>2.72</v>
      </c>
      <c r="S270" s="6">
        <v>-19.100000000000001</v>
      </c>
      <c r="T270" s="6">
        <v>1.82</v>
      </c>
      <c r="U270" s="6">
        <v>4.4000000000000003E-3</v>
      </c>
      <c r="V270" s="6">
        <v>4.5999999999999996</v>
      </c>
      <c r="W270" s="6">
        <v>5.8000000000000003E-2</v>
      </c>
    </row>
    <row r="271" spans="1:23" x14ac:dyDescent="0.3">
      <c r="A271" s="7">
        <v>941</v>
      </c>
      <c r="B271" s="8" t="s">
        <v>115</v>
      </c>
      <c r="C271" s="8">
        <v>1</v>
      </c>
      <c r="D271" s="8" t="str">
        <f t="shared" si="4"/>
        <v>941,1940-1945,1</v>
      </c>
      <c r="E271" s="9">
        <v>0.94</v>
      </c>
      <c r="F271" s="9">
        <v>0</v>
      </c>
      <c r="G271" s="9">
        <v>0.59399999999999997</v>
      </c>
      <c r="H271" s="9">
        <v>2</v>
      </c>
      <c r="I271" s="9">
        <v>3.1</v>
      </c>
      <c r="J271" s="9">
        <v>-7.8</v>
      </c>
      <c r="K271" s="9">
        <v>0</v>
      </c>
      <c r="L271" s="9">
        <v>5.24</v>
      </c>
      <c r="M271" s="9">
        <v>-5.3</v>
      </c>
      <c r="N271" s="9">
        <v>4</v>
      </c>
      <c r="O271" s="9">
        <v>0</v>
      </c>
      <c r="P271" s="9">
        <v>0</v>
      </c>
      <c r="Q271" s="9">
        <v>0</v>
      </c>
      <c r="R271" s="9">
        <v>2.17</v>
      </c>
      <c r="S271" s="9">
        <v>-2.96</v>
      </c>
      <c r="T271" s="9">
        <v>1.84</v>
      </c>
      <c r="U271" s="9">
        <v>4.4000000000000003E-3</v>
      </c>
      <c r="V271" s="9">
        <v>4.5999999999999996</v>
      </c>
      <c r="W271" s="9">
        <v>5.8000000000000003E-2</v>
      </c>
    </row>
    <row r="272" spans="1:23" x14ac:dyDescent="0.3">
      <c r="A272" s="4">
        <v>941</v>
      </c>
      <c r="B272" s="5" t="s">
        <v>116</v>
      </c>
      <c r="C272" s="5">
        <v>1</v>
      </c>
      <c r="D272" s="5" t="str">
        <f t="shared" si="4"/>
        <v>941,1945-1950,1</v>
      </c>
      <c r="E272" s="6">
        <v>0.94</v>
      </c>
      <c r="F272" s="6">
        <v>0</v>
      </c>
      <c r="G272" s="6">
        <v>0.59399999999999997</v>
      </c>
      <c r="H272" s="6">
        <v>2</v>
      </c>
      <c r="I272" s="6">
        <v>3</v>
      </c>
      <c r="J272" s="6">
        <v>-3.6</v>
      </c>
      <c r="K272" s="6">
        <v>0</v>
      </c>
      <c r="L272" s="6">
        <v>4.68</v>
      </c>
      <c r="M272" s="6">
        <v>-2.04</v>
      </c>
      <c r="N272" s="6">
        <v>4</v>
      </c>
      <c r="O272" s="6">
        <v>0</v>
      </c>
      <c r="P272" s="6">
        <v>0</v>
      </c>
      <c r="Q272" s="6">
        <v>0</v>
      </c>
      <c r="R272" s="6">
        <v>4.08</v>
      </c>
      <c r="S272" s="6">
        <v>-50.8</v>
      </c>
      <c r="T272" s="6">
        <v>1.65</v>
      </c>
      <c r="U272" s="6">
        <v>4.4000000000000003E-3</v>
      </c>
      <c r="V272" s="6">
        <v>4.5999999999999996</v>
      </c>
      <c r="W272" s="6">
        <v>5.8000000000000003E-2</v>
      </c>
    </row>
    <row r="273" spans="1:23" x14ac:dyDescent="0.3">
      <c r="A273" s="7">
        <v>941</v>
      </c>
      <c r="B273" s="8" t="s">
        <v>117</v>
      </c>
      <c r="C273" s="8">
        <v>1</v>
      </c>
      <c r="D273" s="8" t="str">
        <f t="shared" si="4"/>
        <v>941,1950-1955,1</v>
      </c>
      <c r="E273" s="9">
        <v>0.94</v>
      </c>
      <c r="F273" s="9">
        <v>0</v>
      </c>
      <c r="G273" s="9">
        <v>0.59399999999999997</v>
      </c>
      <c r="H273" s="9">
        <v>2</v>
      </c>
      <c r="I273" s="9">
        <v>3.1</v>
      </c>
      <c r="J273" s="9">
        <v>-5.7</v>
      </c>
      <c r="K273" s="9">
        <v>0</v>
      </c>
      <c r="L273" s="9">
        <v>5.46</v>
      </c>
      <c r="M273" s="9">
        <v>-6.2</v>
      </c>
      <c r="N273" s="9">
        <v>4</v>
      </c>
      <c r="O273" s="9">
        <v>0</v>
      </c>
      <c r="P273" s="9">
        <v>0</v>
      </c>
      <c r="Q273" s="9">
        <v>0</v>
      </c>
      <c r="R273" s="9">
        <v>2.86</v>
      </c>
      <c r="S273" s="9">
        <v>-20.9</v>
      </c>
      <c r="T273" s="9">
        <v>1.59</v>
      </c>
      <c r="U273" s="9">
        <v>4.4000000000000003E-3</v>
      </c>
      <c r="V273" s="9">
        <v>4.5999999999999996</v>
      </c>
      <c r="W273" s="9">
        <v>5.8000000000000003E-2</v>
      </c>
    </row>
    <row r="274" spans="1:23" x14ac:dyDescent="0.3">
      <c r="A274" s="4">
        <v>941</v>
      </c>
      <c r="B274" s="5" t="s">
        <v>118</v>
      </c>
      <c r="C274" s="5">
        <v>1</v>
      </c>
      <c r="D274" s="5" t="str">
        <f t="shared" si="4"/>
        <v>941,1955-1960,1</v>
      </c>
      <c r="E274" s="6">
        <v>0.94</v>
      </c>
      <c r="F274" s="6">
        <v>0</v>
      </c>
      <c r="G274" s="6">
        <v>0.59399999999999997</v>
      </c>
      <c r="H274" s="6">
        <v>2</v>
      </c>
      <c r="I274" s="6">
        <v>3.1</v>
      </c>
      <c r="J274" s="6">
        <v>-7.2</v>
      </c>
      <c r="K274" s="6">
        <v>0</v>
      </c>
      <c r="L274" s="6">
        <v>5.61</v>
      </c>
      <c r="M274" s="6">
        <v>-7.95</v>
      </c>
      <c r="N274" s="6">
        <v>4</v>
      </c>
      <c r="O274" s="6">
        <v>0</v>
      </c>
      <c r="P274" s="6">
        <v>0</v>
      </c>
      <c r="Q274" s="6">
        <v>0</v>
      </c>
      <c r="R274" s="6">
        <v>2.72</v>
      </c>
      <c r="S274" s="6">
        <v>-15.6</v>
      </c>
      <c r="T274" s="6">
        <v>1.59</v>
      </c>
      <c r="U274" s="6">
        <v>4.4000000000000003E-3</v>
      </c>
      <c r="V274" s="6">
        <v>4.5999999999999996</v>
      </c>
      <c r="W274" s="6">
        <v>5.8000000000000003E-2</v>
      </c>
    </row>
    <row r="275" spans="1:23" x14ac:dyDescent="0.3">
      <c r="A275" s="7">
        <v>941</v>
      </c>
      <c r="B275" s="8" t="s">
        <v>119</v>
      </c>
      <c r="C275" s="8">
        <v>1</v>
      </c>
      <c r="D275" s="8" t="str">
        <f t="shared" si="4"/>
        <v>941,1960-1965,1</v>
      </c>
      <c r="E275" s="9">
        <v>0.94</v>
      </c>
      <c r="F275" s="9">
        <v>0</v>
      </c>
      <c r="G275" s="9">
        <v>0.59399999999999997</v>
      </c>
      <c r="H275" s="9">
        <v>2</v>
      </c>
      <c r="I275" s="9">
        <v>2.9</v>
      </c>
      <c r="J275" s="9">
        <v>-3.1</v>
      </c>
      <c r="K275" s="9">
        <v>0</v>
      </c>
      <c r="L275" s="9">
        <v>4.62</v>
      </c>
      <c r="M275" s="9">
        <v>-2.29</v>
      </c>
      <c r="N275" s="9">
        <v>4</v>
      </c>
      <c r="O275" s="9">
        <v>0</v>
      </c>
      <c r="P275" s="9">
        <v>0</v>
      </c>
      <c r="Q275" s="9">
        <v>0</v>
      </c>
      <c r="R275" s="9">
        <v>2.61</v>
      </c>
      <c r="S275" s="9">
        <v>-13.4</v>
      </c>
      <c r="T275" s="9">
        <v>1.63</v>
      </c>
      <c r="U275" s="9">
        <v>4.4000000000000003E-3</v>
      </c>
      <c r="V275" s="9">
        <v>4.5999999999999996</v>
      </c>
      <c r="W275" s="9">
        <v>5.8000000000000003E-2</v>
      </c>
    </row>
    <row r="276" spans="1:23" x14ac:dyDescent="0.3">
      <c r="A276" s="4">
        <v>941</v>
      </c>
      <c r="B276" s="5" t="s">
        <v>120</v>
      </c>
      <c r="C276" s="5">
        <v>1</v>
      </c>
      <c r="D276" s="5" t="str">
        <f t="shared" si="4"/>
        <v>941,1965-1970,1</v>
      </c>
      <c r="E276" s="6">
        <v>0.94</v>
      </c>
      <c r="F276" s="6">
        <v>0</v>
      </c>
      <c r="G276" s="6">
        <v>0.59399999999999997</v>
      </c>
      <c r="H276" s="6">
        <v>2</v>
      </c>
      <c r="I276" s="6">
        <v>3</v>
      </c>
      <c r="J276" s="6">
        <v>-5.4</v>
      </c>
      <c r="K276" s="6">
        <v>0</v>
      </c>
      <c r="L276" s="6">
        <v>4.3099999999999996</v>
      </c>
      <c r="M276" s="6">
        <v>-0.28299999999999997</v>
      </c>
      <c r="N276" s="6">
        <v>3.95</v>
      </c>
      <c r="O276" s="6">
        <v>0</v>
      </c>
      <c r="P276" s="6">
        <v>0</v>
      </c>
      <c r="Q276" s="6">
        <v>0</v>
      </c>
      <c r="R276" s="6">
        <v>2.34</v>
      </c>
      <c r="S276" s="6">
        <v>-8.9</v>
      </c>
      <c r="T276" s="6">
        <v>1.71</v>
      </c>
      <c r="U276" s="6">
        <v>4.4000000000000003E-3</v>
      </c>
      <c r="V276" s="6">
        <v>4.5999999999999996</v>
      </c>
      <c r="W276" s="6">
        <v>5.8000000000000003E-2</v>
      </c>
    </row>
    <row r="277" spans="1:23" x14ac:dyDescent="0.3">
      <c r="A277" s="7">
        <v>941</v>
      </c>
      <c r="B277" s="8" t="s">
        <v>121</v>
      </c>
      <c r="C277" s="8">
        <v>1</v>
      </c>
      <c r="D277" s="8" t="str">
        <f t="shared" si="4"/>
        <v>941,1970-1975,1</v>
      </c>
      <c r="E277" s="9">
        <v>0.94</v>
      </c>
      <c r="F277" s="9">
        <v>0</v>
      </c>
      <c r="G277" s="9">
        <v>0.59399999999999997</v>
      </c>
      <c r="H277" s="9">
        <v>2</v>
      </c>
      <c r="I277" s="9">
        <v>2.8</v>
      </c>
      <c r="J277" s="9">
        <v>1</v>
      </c>
      <c r="K277" s="9">
        <v>0</v>
      </c>
      <c r="L277" s="9">
        <v>5.31</v>
      </c>
      <c r="M277" s="9">
        <v>-7</v>
      </c>
      <c r="N277" s="9">
        <v>3.96</v>
      </c>
      <c r="O277" s="9">
        <v>0</v>
      </c>
      <c r="P277" s="9">
        <v>0</v>
      </c>
      <c r="Q277" s="9">
        <v>0</v>
      </c>
      <c r="R277" s="9">
        <v>2.87</v>
      </c>
      <c r="S277" s="9">
        <v>-31.1</v>
      </c>
      <c r="T277" s="9">
        <v>1.6</v>
      </c>
      <c r="U277" s="9">
        <v>4.4000000000000003E-3</v>
      </c>
      <c r="V277" s="9">
        <v>4.5999999999999996</v>
      </c>
      <c r="W277" s="9">
        <v>5.8000000000000003E-2</v>
      </c>
    </row>
    <row r="278" spans="1:23" x14ac:dyDescent="0.3">
      <c r="A278" s="4">
        <v>941</v>
      </c>
      <c r="B278" s="5" t="s">
        <v>122</v>
      </c>
      <c r="C278" s="5">
        <v>1</v>
      </c>
      <c r="D278" s="5" t="str">
        <f t="shared" si="4"/>
        <v>941,1975-1980,1</v>
      </c>
      <c r="E278" s="6">
        <v>0.94</v>
      </c>
      <c r="F278" s="6">
        <v>0</v>
      </c>
      <c r="G278" s="6">
        <v>0.59399999999999997</v>
      </c>
      <c r="H278" s="6">
        <v>2</v>
      </c>
      <c r="I278" s="6">
        <v>2.8</v>
      </c>
      <c r="J278" s="6">
        <v>4.3</v>
      </c>
      <c r="K278" s="6">
        <v>0</v>
      </c>
      <c r="L278" s="6">
        <v>4.55</v>
      </c>
      <c r="M278" s="6">
        <v>-1.89</v>
      </c>
      <c r="N278" s="6">
        <v>3.98</v>
      </c>
      <c r="O278" s="6">
        <v>0</v>
      </c>
      <c r="P278" s="6">
        <v>0</v>
      </c>
      <c r="Q278" s="6">
        <v>0</v>
      </c>
      <c r="R278" s="6">
        <v>2.48</v>
      </c>
      <c r="S278" s="6">
        <v>-11.9</v>
      </c>
      <c r="T278" s="6">
        <v>1.59</v>
      </c>
      <c r="U278" s="6">
        <v>4.4000000000000003E-3</v>
      </c>
      <c r="V278" s="6">
        <v>4.5999999999999996</v>
      </c>
      <c r="W278" s="6">
        <v>5.8000000000000003E-2</v>
      </c>
    </row>
    <row r="279" spans="1:23" x14ac:dyDescent="0.3">
      <c r="A279" s="7">
        <v>941</v>
      </c>
      <c r="B279" s="8" t="s">
        <v>123</v>
      </c>
      <c r="C279" s="8">
        <v>1</v>
      </c>
      <c r="D279" s="8" t="str">
        <f t="shared" si="4"/>
        <v>941,1980-1985,1</v>
      </c>
      <c r="E279" s="9">
        <v>0.94</v>
      </c>
      <c r="F279" s="9">
        <v>0</v>
      </c>
      <c r="G279" s="9">
        <v>0.59399999999999997</v>
      </c>
      <c r="H279" s="9">
        <v>2</v>
      </c>
      <c r="I279" s="9">
        <v>2.6</v>
      </c>
      <c r="J279" s="9">
        <v>7.8</v>
      </c>
      <c r="K279" s="9">
        <v>0</v>
      </c>
      <c r="L279" s="9">
        <v>5.12</v>
      </c>
      <c r="M279" s="9">
        <v>-5.39</v>
      </c>
      <c r="N279" s="9">
        <v>3.96</v>
      </c>
      <c r="O279" s="9">
        <v>0</v>
      </c>
      <c r="P279" s="9">
        <v>0</v>
      </c>
      <c r="Q279" s="9">
        <v>0</v>
      </c>
      <c r="R279" s="9">
        <v>2.69</v>
      </c>
      <c r="S279" s="9">
        <v>-18.399999999999999</v>
      </c>
      <c r="T279" s="9">
        <v>1.55</v>
      </c>
      <c r="U279" s="9">
        <v>4.4000000000000003E-3</v>
      </c>
      <c r="V279" s="9">
        <v>4.5999999999999996</v>
      </c>
      <c r="W279" s="9">
        <v>5.8000000000000003E-2</v>
      </c>
    </row>
    <row r="280" spans="1:23" x14ac:dyDescent="0.3">
      <c r="A280" s="4">
        <v>941</v>
      </c>
      <c r="B280" s="5" t="s">
        <v>124</v>
      </c>
      <c r="C280" s="5">
        <v>1</v>
      </c>
      <c r="D280" s="5" t="str">
        <f t="shared" si="4"/>
        <v>941,1985-1990,1</v>
      </c>
      <c r="E280" s="6">
        <v>0.94</v>
      </c>
      <c r="F280" s="6">
        <v>0</v>
      </c>
      <c r="G280" s="6">
        <v>0.59399999999999997</v>
      </c>
      <c r="H280" s="6">
        <v>2.1</v>
      </c>
      <c r="I280" s="6">
        <v>2.8</v>
      </c>
      <c r="J280" s="6">
        <v>0.1</v>
      </c>
      <c r="K280" s="6">
        <v>0</v>
      </c>
      <c r="L280" s="6">
        <v>6.5</v>
      </c>
      <c r="M280" s="6">
        <v>-12.9</v>
      </c>
      <c r="N280" s="6">
        <v>3.96</v>
      </c>
      <c r="O280" s="6">
        <v>0</v>
      </c>
      <c r="P280" s="6">
        <v>0</v>
      </c>
      <c r="Q280" s="6">
        <v>0</v>
      </c>
      <c r="R280" s="6">
        <v>2.9</v>
      </c>
      <c r="S280" s="6">
        <v>-24.5</v>
      </c>
      <c r="T280" s="6">
        <v>1.5</v>
      </c>
      <c r="U280" s="6">
        <v>4.4000000000000003E-3</v>
      </c>
      <c r="V280" s="6">
        <v>4.5999999999999996</v>
      </c>
      <c r="W280" s="6">
        <v>5.8000000000000003E-2</v>
      </c>
    </row>
    <row r="281" spans="1:23" x14ac:dyDescent="0.3">
      <c r="A281" s="7">
        <v>941</v>
      </c>
      <c r="B281" s="8" t="s">
        <v>125</v>
      </c>
      <c r="C281" s="8">
        <v>1</v>
      </c>
      <c r="D281" s="8" t="str">
        <f t="shared" si="4"/>
        <v>941,1990-1995,1</v>
      </c>
      <c r="E281" s="9">
        <v>0.94</v>
      </c>
      <c r="F281" s="9">
        <v>0</v>
      </c>
      <c r="G281" s="9">
        <v>0.59399999999999997</v>
      </c>
      <c r="H281" s="9">
        <v>2.1</v>
      </c>
      <c r="I281" s="9">
        <v>2</v>
      </c>
      <c r="J281" s="9">
        <v>28</v>
      </c>
      <c r="K281" s="9">
        <v>0</v>
      </c>
      <c r="L281" s="9">
        <v>5.01</v>
      </c>
      <c r="M281" s="9">
        <v>-3.95</v>
      </c>
      <c r="N281" s="9">
        <v>3.95</v>
      </c>
      <c r="O281" s="9">
        <v>0</v>
      </c>
      <c r="P281" s="9">
        <v>0</v>
      </c>
      <c r="Q281" s="9">
        <v>0</v>
      </c>
      <c r="R281" s="9">
        <v>2.69</v>
      </c>
      <c r="S281" s="9">
        <v>-19.3</v>
      </c>
      <c r="T281" s="9">
        <v>1.43</v>
      </c>
      <c r="U281" s="9">
        <v>4.4000000000000003E-3</v>
      </c>
      <c r="V281" s="9">
        <v>4.5999999999999996</v>
      </c>
      <c r="W281" s="9">
        <v>5.8000000000000003E-2</v>
      </c>
    </row>
    <row r="282" spans="1:23" x14ac:dyDescent="0.3">
      <c r="A282" s="4">
        <v>941</v>
      </c>
      <c r="B282" s="5" t="s">
        <v>126</v>
      </c>
      <c r="C282" s="5">
        <v>1</v>
      </c>
      <c r="D282" s="5" t="str">
        <f t="shared" si="4"/>
        <v>941,1995-2000,1</v>
      </c>
      <c r="E282" s="6">
        <v>0.94</v>
      </c>
      <c r="F282" s="6">
        <v>0</v>
      </c>
      <c r="G282" s="6">
        <v>0.59399999999999997</v>
      </c>
      <c r="H282" s="6">
        <v>2.2000000000000002</v>
      </c>
      <c r="I282" s="6">
        <v>3</v>
      </c>
      <c r="J282" s="6">
        <v>-4.5</v>
      </c>
      <c r="K282" s="6">
        <v>0</v>
      </c>
      <c r="L282" s="6">
        <v>5.29</v>
      </c>
      <c r="M282" s="6">
        <v>-5.51</v>
      </c>
      <c r="N282" s="6">
        <v>3.95</v>
      </c>
      <c r="O282" s="6">
        <v>0</v>
      </c>
      <c r="P282" s="6">
        <v>0</v>
      </c>
      <c r="Q282" s="6">
        <v>0</v>
      </c>
      <c r="R282" s="6">
        <v>2.61</v>
      </c>
      <c r="S282" s="6">
        <v>-19.3</v>
      </c>
      <c r="T282" s="6">
        <v>1.43</v>
      </c>
      <c r="U282" s="6">
        <v>4.4000000000000003E-3</v>
      </c>
      <c r="V282" s="6">
        <v>4.5999999999999996</v>
      </c>
      <c r="W282" s="6">
        <v>5.8000000000000003E-2</v>
      </c>
    </row>
    <row r="283" spans="1:23" x14ac:dyDescent="0.3">
      <c r="A283" s="7">
        <v>941</v>
      </c>
      <c r="B283" s="8" t="s">
        <v>127</v>
      </c>
      <c r="C283" s="8">
        <v>1</v>
      </c>
      <c r="D283" s="8" t="str">
        <f t="shared" si="4"/>
        <v>941,2000-2005,1</v>
      </c>
      <c r="E283" s="9">
        <v>0.94</v>
      </c>
      <c r="F283" s="9">
        <v>0</v>
      </c>
      <c r="G283" s="9">
        <v>0.59399999999999997</v>
      </c>
      <c r="H283" s="9">
        <v>2.2000000000000002</v>
      </c>
      <c r="I283" s="9">
        <v>3</v>
      </c>
      <c r="J283" s="9">
        <v>-1.3</v>
      </c>
      <c r="K283" s="9">
        <v>0</v>
      </c>
      <c r="L283" s="9">
        <v>5.51</v>
      </c>
      <c r="M283" s="9">
        <v>-6.76</v>
      </c>
      <c r="N283" s="9">
        <v>3.96</v>
      </c>
      <c r="O283" s="9">
        <v>0</v>
      </c>
      <c r="P283" s="9">
        <v>0</v>
      </c>
      <c r="Q283" s="9">
        <v>0</v>
      </c>
      <c r="R283" s="9">
        <v>2.4700000000000002</v>
      </c>
      <c r="S283" s="9">
        <v>-11.3</v>
      </c>
      <c r="T283" s="9">
        <v>1.43</v>
      </c>
      <c r="U283" s="9">
        <v>4.4000000000000003E-3</v>
      </c>
      <c r="V283" s="9">
        <v>4.5999999999999996</v>
      </c>
      <c r="W283" s="9">
        <v>5.8000000000000003E-2</v>
      </c>
    </row>
    <row r="284" spans="1:23" x14ac:dyDescent="0.3">
      <c r="A284" s="4">
        <v>941</v>
      </c>
      <c r="B284" s="5" t="s">
        <v>128</v>
      </c>
      <c r="C284" s="5">
        <v>1</v>
      </c>
      <c r="D284" s="5" t="str">
        <f t="shared" si="4"/>
        <v>941,2005-2010,1</v>
      </c>
      <c r="E284" s="6">
        <v>0.94</v>
      </c>
      <c r="F284" s="6">
        <v>0</v>
      </c>
      <c r="G284" s="6">
        <v>0.59399999999999997</v>
      </c>
      <c r="H284" s="6">
        <v>2.2000000000000002</v>
      </c>
      <c r="I284" s="6">
        <v>3.1</v>
      </c>
      <c r="J284" s="6">
        <v>-3.3</v>
      </c>
      <c r="K284" s="6">
        <v>0</v>
      </c>
      <c r="L284" s="6">
        <v>5.03</v>
      </c>
      <c r="M284" s="6">
        <v>-3.78</v>
      </c>
      <c r="N284" s="6">
        <v>3.96</v>
      </c>
      <c r="O284" s="6">
        <v>0</v>
      </c>
      <c r="P284" s="6">
        <v>0</v>
      </c>
      <c r="Q284" s="6">
        <v>0</v>
      </c>
      <c r="R284" s="6">
        <v>2.76</v>
      </c>
      <c r="S284" s="6">
        <v>-19.100000000000001</v>
      </c>
      <c r="T284" s="6">
        <v>1.38</v>
      </c>
      <c r="U284" s="6">
        <v>4.4000000000000003E-3</v>
      </c>
      <c r="V284" s="6">
        <v>4.5999999999999996</v>
      </c>
      <c r="W284" s="6">
        <v>5.8000000000000003E-2</v>
      </c>
    </row>
    <row r="285" spans="1:23" x14ac:dyDescent="0.3">
      <c r="A285" s="7">
        <v>941</v>
      </c>
      <c r="B285" s="8" t="s">
        <v>129</v>
      </c>
      <c r="C285" s="8">
        <v>1</v>
      </c>
      <c r="D285" s="8" t="str">
        <f t="shared" si="4"/>
        <v>941,2010-2015,1</v>
      </c>
      <c r="E285" s="9">
        <v>0.94</v>
      </c>
      <c r="F285" s="9">
        <v>0</v>
      </c>
      <c r="G285" s="9">
        <v>0.59399999999999997</v>
      </c>
      <c r="H285" s="9">
        <v>2.2000000000000002</v>
      </c>
      <c r="I285" s="9">
        <v>2.9</v>
      </c>
      <c r="J285" s="9">
        <v>4.5999999999999996</v>
      </c>
      <c r="K285" s="9">
        <v>0</v>
      </c>
      <c r="L285" s="9">
        <v>5.54</v>
      </c>
      <c r="M285" s="9">
        <v>-7.09</v>
      </c>
      <c r="N285" s="9">
        <v>3.95</v>
      </c>
      <c r="O285" s="9">
        <v>0</v>
      </c>
      <c r="P285" s="9">
        <v>0</v>
      </c>
      <c r="Q285" s="9">
        <v>0</v>
      </c>
      <c r="R285" s="9">
        <v>2.57</v>
      </c>
      <c r="S285" s="9">
        <v>-15.5</v>
      </c>
      <c r="T285" s="9">
        <v>1.36</v>
      </c>
      <c r="U285" s="9">
        <v>4.4000000000000003E-3</v>
      </c>
      <c r="V285" s="9">
        <v>4.5999999999999996</v>
      </c>
      <c r="W285" s="9">
        <v>5.8000000000000003E-2</v>
      </c>
    </row>
    <row r="286" spans="1:23" x14ac:dyDescent="0.3">
      <c r="A286" s="4">
        <v>941</v>
      </c>
      <c r="B286" s="5" t="s">
        <v>130</v>
      </c>
      <c r="C286" s="5">
        <v>1</v>
      </c>
      <c r="D286" s="5" t="str">
        <f t="shared" si="4"/>
        <v>941,2015-2020,1</v>
      </c>
      <c r="E286" s="6">
        <v>0.94</v>
      </c>
      <c r="F286" s="6">
        <v>0</v>
      </c>
      <c r="G286" s="6">
        <v>0.59399999999999997</v>
      </c>
      <c r="H286" s="6">
        <v>2.2999999999999998</v>
      </c>
      <c r="I286" s="6">
        <v>2.2999999999999998</v>
      </c>
      <c r="J286" s="6">
        <v>32.9</v>
      </c>
      <c r="K286" s="6">
        <v>0</v>
      </c>
      <c r="L286" s="6">
        <v>5.71</v>
      </c>
      <c r="M286" s="6">
        <v>-7.66</v>
      </c>
      <c r="N286" s="6">
        <v>3.96</v>
      </c>
      <c r="O286" s="6">
        <v>0</v>
      </c>
      <c r="P286" s="6">
        <v>0</v>
      </c>
      <c r="Q286" s="6">
        <v>0</v>
      </c>
      <c r="R286" s="6">
        <v>3.85</v>
      </c>
      <c r="S286" s="6">
        <v>-39.6</v>
      </c>
      <c r="T286" s="6">
        <v>1.36</v>
      </c>
      <c r="U286" s="6">
        <v>4.4000000000000003E-3</v>
      </c>
      <c r="V286" s="6">
        <v>4.5999999999999996</v>
      </c>
      <c r="W286" s="6">
        <v>5.8000000000000003E-2</v>
      </c>
    </row>
    <row r="287" spans="1:23" x14ac:dyDescent="0.3">
      <c r="A287" s="7">
        <v>941</v>
      </c>
      <c r="B287" s="8" t="s">
        <v>131</v>
      </c>
      <c r="C287" s="8">
        <v>1</v>
      </c>
      <c r="D287" s="8" t="str">
        <f t="shared" si="4"/>
        <v>941,2020-,1</v>
      </c>
      <c r="E287" s="9">
        <v>0.94</v>
      </c>
      <c r="F287" s="9">
        <v>0</v>
      </c>
      <c r="G287" s="9">
        <v>0.59399999999999997</v>
      </c>
      <c r="H287" s="9">
        <v>2.2000000000000002</v>
      </c>
      <c r="I287" s="9">
        <v>3.3</v>
      </c>
      <c r="J287" s="9">
        <v>-2.1</v>
      </c>
      <c r="K287" s="9">
        <v>0</v>
      </c>
      <c r="L287" s="9">
        <v>5.09</v>
      </c>
      <c r="M287" s="9">
        <v>-4.1399999999999997</v>
      </c>
      <c r="N287" s="9">
        <v>3.97</v>
      </c>
      <c r="O287" s="9">
        <v>0</v>
      </c>
      <c r="P287" s="9">
        <v>0</v>
      </c>
      <c r="Q287" s="9">
        <v>0</v>
      </c>
      <c r="R287" s="9">
        <v>2.2999999999999998</v>
      </c>
      <c r="S287" s="9">
        <v>12.1</v>
      </c>
      <c r="T287" s="9">
        <v>1.63</v>
      </c>
      <c r="U287" s="9">
        <v>4.4000000000000003E-3</v>
      </c>
      <c r="V287" s="9">
        <v>4.5999999999999996</v>
      </c>
      <c r="W287" s="9">
        <v>5.8000000000000003E-2</v>
      </c>
    </row>
    <row r="288" spans="1:23" x14ac:dyDescent="0.3">
      <c r="A288" s="4">
        <v>941</v>
      </c>
      <c r="B288" s="5">
        <v>-1920</v>
      </c>
      <c r="C288" s="5">
        <v>1.5</v>
      </c>
      <c r="D288" s="5" t="str">
        <f t="shared" si="4"/>
        <v>941,-1920,1,5</v>
      </c>
      <c r="E288" s="6">
        <v>0.1</v>
      </c>
      <c r="F288" s="6">
        <v>20</v>
      </c>
      <c r="G288" s="6">
        <v>0.1</v>
      </c>
      <c r="H288" s="6">
        <v>2.8</v>
      </c>
      <c r="I288" s="6">
        <v>2.9</v>
      </c>
      <c r="J288" s="6">
        <v>-1</v>
      </c>
      <c r="K288" s="6">
        <v>0</v>
      </c>
      <c r="L288" s="6">
        <v>4.97</v>
      </c>
      <c r="M288" s="6">
        <v>-3.42</v>
      </c>
      <c r="N288" s="6">
        <v>3.92</v>
      </c>
      <c r="O288" s="6">
        <v>0.3</v>
      </c>
      <c r="P288" s="6">
        <v>-11</v>
      </c>
      <c r="Q288" s="6">
        <v>0.17</v>
      </c>
      <c r="R288" s="6">
        <v>3.5034999999999998</v>
      </c>
      <c r="S288" s="6">
        <v>-23.9</v>
      </c>
      <c r="T288" s="6">
        <v>1.61798</v>
      </c>
      <c r="U288" s="6">
        <v>4.4000000000000003E-3</v>
      </c>
      <c r="V288" s="6">
        <v>4.5999999999999996</v>
      </c>
      <c r="W288" s="6">
        <v>0.05</v>
      </c>
    </row>
    <row r="289" spans="1:23" x14ac:dyDescent="0.3">
      <c r="A289" s="7">
        <v>941</v>
      </c>
      <c r="B289" s="8" t="s">
        <v>111</v>
      </c>
      <c r="C289" s="8">
        <v>1.5</v>
      </c>
      <c r="D289" s="8" t="str">
        <f t="shared" si="4"/>
        <v>941,1920-1925,1,5</v>
      </c>
      <c r="E289" s="9">
        <v>0.1</v>
      </c>
      <c r="F289" s="9">
        <v>20</v>
      </c>
      <c r="G289" s="9">
        <v>0.1</v>
      </c>
      <c r="H289" s="9">
        <v>2.8</v>
      </c>
      <c r="I289" s="9">
        <v>2.9</v>
      </c>
      <c r="J289" s="9">
        <v>-1</v>
      </c>
      <c r="K289" s="9">
        <v>0</v>
      </c>
      <c r="L289" s="9">
        <v>6.14</v>
      </c>
      <c r="M289" s="9">
        <v>-10.4</v>
      </c>
      <c r="N289" s="9">
        <v>3.94</v>
      </c>
      <c r="O289" s="9">
        <v>0.3</v>
      </c>
      <c r="P289" s="9">
        <v>-11</v>
      </c>
      <c r="Q289" s="9">
        <v>0.17</v>
      </c>
      <c r="R289" s="9">
        <v>2.4078599999999999</v>
      </c>
      <c r="S289" s="9">
        <v>4.29</v>
      </c>
      <c r="T289" s="9">
        <v>2.0766200000000001</v>
      </c>
      <c r="U289" s="9">
        <v>4.4000000000000003E-3</v>
      </c>
      <c r="V289" s="9">
        <v>4.5999999999999996</v>
      </c>
      <c r="W289" s="9">
        <v>0.05</v>
      </c>
    </row>
    <row r="290" spans="1:23" x14ac:dyDescent="0.3">
      <c r="A290" s="4">
        <v>941</v>
      </c>
      <c r="B290" s="5" t="s">
        <v>112</v>
      </c>
      <c r="C290" s="5">
        <v>1.5</v>
      </c>
      <c r="D290" s="5" t="str">
        <f t="shared" si="4"/>
        <v>941,1925-1930,1,5</v>
      </c>
      <c r="E290" s="6">
        <v>0.1</v>
      </c>
      <c r="F290" s="6">
        <v>20</v>
      </c>
      <c r="G290" s="6">
        <v>0.1</v>
      </c>
      <c r="H290" s="6">
        <v>2.9</v>
      </c>
      <c r="I290" s="6">
        <v>3</v>
      </c>
      <c r="J290" s="6">
        <v>-1</v>
      </c>
      <c r="K290" s="6">
        <v>0</v>
      </c>
      <c r="L290" s="6">
        <v>5.29</v>
      </c>
      <c r="M290" s="6">
        <v>-5.37</v>
      </c>
      <c r="N290" s="6">
        <v>3.97</v>
      </c>
      <c r="O290" s="6">
        <v>0.3</v>
      </c>
      <c r="P290" s="6">
        <v>-11</v>
      </c>
      <c r="Q290" s="6">
        <v>0.17</v>
      </c>
      <c r="R290" s="6">
        <v>3.2359599999999999</v>
      </c>
      <c r="S290" s="6">
        <v>-13.3</v>
      </c>
      <c r="T290" s="6">
        <v>2.4078599999999999</v>
      </c>
      <c r="U290" s="6">
        <v>4.4000000000000003E-3</v>
      </c>
      <c r="V290" s="6">
        <v>4.5999999999999996</v>
      </c>
      <c r="W290" s="6">
        <v>0.05</v>
      </c>
    </row>
    <row r="291" spans="1:23" x14ac:dyDescent="0.3">
      <c r="A291" s="7">
        <v>941</v>
      </c>
      <c r="B291" s="8" t="s">
        <v>113</v>
      </c>
      <c r="C291" s="8">
        <v>1.5</v>
      </c>
      <c r="D291" s="8" t="str">
        <f t="shared" si="4"/>
        <v>941,1930-1935,1,5</v>
      </c>
      <c r="E291" s="9">
        <v>0.1</v>
      </c>
      <c r="F291" s="9">
        <v>20</v>
      </c>
      <c r="G291" s="9">
        <v>0.1</v>
      </c>
      <c r="H291" s="9">
        <v>2.9</v>
      </c>
      <c r="I291" s="9">
        <v>3</v>
      </c>
      <c r="J291" s="9">
        <v>-1</v>
      </c>
      <c r="K291" s="9">
        <v>0</v>
      </c>
      <c r="L291" s="9">
        <v>4.8600000000000003</v>
      </c>
      <c r="M291" s="9">
        <v>-3.1</v>
      </c>
      <c r="N291" s="9">
        <v>3.96</v>
      </c>
      <c r="O291" s="9">
        <v>0.3</v>
      </c>
      <c r="P291" s="9">
        <v>-11</v>
      </c>
      <c r="Q291" s="9">
        <v>0.17</v>
      </c>
      <c r="R291" s="9">
        <v>3.3378800000000002</v>
      </c>
      <c r="S291" s="9">
        <v>-14.4</v>
      </c>
      <c r="T291" s="9">
        <v>2.4715600000000002</v>
      </c>
      <c r="U291" s="9">
        <v>4.4000000000000003E-3</v>
      </c>
      <c r="V291" s="9">
        <v>4.5999999999999996</v>
      </c>
      <c r="W291" s="9">
        <v>0.05</v>
      </c>
    </row>
    <row r="292" spans="1:23" x14ac:dyDescent="0.3">
      <c r="A292" s="4">
        <v>941</v>
      </c>
      <c r="B292" s="5" t="s">
        <v>114</v>
      </c>
      <c r="C292" s="5">
        <v>1.5</v>
      </c>
      <c r="D292" s="5" t="str">
        <f t="shared" si="4"/>
        <v>941,1935-1940,1,5</v>
      </c>
      <c r="E292" s="6">
        <v>0.1</v>
      </c>
      <c r="F292" s="6">
        <v>20</v>
      </c>
      <c r="G292" s="6">
        <v>0.1</v>
      </c>
      <c r="H292" s="6">
        <v>3</v>
      </c>
      <c r="I292" s="6">
        <v>3.1</v>
      </c>
      <c r="J292" s="6">
        <v>-1</v>
      </c>
      <c r="K292" s="6">
        <v>0</v>
      </c>
      <c r="L292" s="6">
        <v>4.62</v>
      </c>
      <c r="M292" s="6">
        <v>-0.91900000000000004</v>
      </c>
      <c r="N292" s="6">
        <v>3.96</v>
      </c>
      <c r="O292" s="6">
        <v>0.3</v>
      </c>
      <c r="P292" s="6">
        <v>-11</v>
      </c>
      <c r="Q292" s="6">
        <v>0.17</v>
      </c>
      <c r="R292" s="6">
        <v>3.4652799999999999</v>
      </c>
      <c r="S292" s="6">
        <v>-19.100000000000001</v>
      </c>
      <c r="T292" s="6">
        <v>2.3186800000000001</v>
      </c>
      <c r="U292" s="6">
        <v>4.4000000000000003E-3</v>
      </c>
      <c r="V292" s="6">
        <v>4.5999999999999996</v>
      </c>
      <c r="W292" s="6">
        <v>0.05</v>
      </c>
    </row>
    <row r="293" spans="1:23" x14ac:dyDescent="0.3">
      <c r="A293" s="7">
        <v>941</v>
      </c>
      <c r="B293" s="8" t="s">
        <v>115</v>
      </c>
      <c r="C293" s="8">
        <v>1.5</v>
      </c>
      <c r="D293" s="8" t="str">
        <f t="shared" si="4"/>
        <v>941,1940-1945,1,5</v>
      </c>
      <c r="E293" s="9">
        <v>0.1</v>
      </c>
      <c r="F293" s="9">
        <v>20</v>
      </c>
      <c r="G293" s="9">
        <v>0.1</v>
      </c>
      <c r="H293" s="9">
        <v>3</v>
      </c>
      <c r="I293" s="9">
        <v>3.1</v>
      </c>
      <c r="J293" s="9">
        <v>-1</v>
      </c>
      <c r="K293" s="9">
        <v>0</v>
      </c>
      <c r="L293" s="9">
        <v>5.24</v>
      </c>
      <c r="M293" s="9">
        <v>-5.3</v>
      </c>
      <c r="N293" s="9">
        <v>4</v>
      </c>
      <c r="O293" s="9">
        <v>0.3</v>
      </c>
      <c r="P293" s="9">
        <v>-11</v>
      </c>
      <c r="Q293" s="9">
        <v>0.17</v>
      </c>
      <c r="R293" s="9">
        <v>2.76458</v>
      </c>
      <c r="S293" s="9">
        <v>-2.96</v>
      </c>
      <c r="T293" s="9">
        <v>2.34416</v>
      </c>
      <c r="U293" s="9">
        <v>4.4000000000000003E-3</v>
      </c>
      <c r="V293" s="9">
        <v>4.5999999999999996</v>
      </c>
      <c r="W293" s="9">
        <v>0.05</v>
      </c>
    </row>
    <row r="294" spans="1:23" x14ac:dyDescent="0.3">
      <c r="A294" s="4">
        <v>941</v>
      </c>
      <c r="B294" s="5" t="s">
        <v>116</v>
      </c>
      <c r="C294" s="5">
        <v>1.5</v>
      </c>
      <c r="D294" s="5" t="str">
        <f t="shared" si="4"/>
        <v>941,1945-1950,1,5</v>
      </c>
      <c r="E294" s="6">
        <v>0.1</v>
      </c>
      <c r="F294" s="6">
        <v>20</v>
      </c>
      <c r="G294" s="6">
        <v>0.1</v>
      </c>
      <c r="H294" s="6">
        <v>3</v>
      </c>
      <c r="I294" s="6">
        <v>3.1</v>
      </c>
      <c r="J294" s="6">
        <v>-1</v>
      </c>
      <c r="K294" s="6">
        <v>0</v>
      </c>
      <c r="L294" s="6">
        <v>4.68</v>
      </c>
      <c r="M294" s="6">
        <v>-2.04</v>
      </c>
      <c r="N294" s="6">
        <v>4</v>
      </c>
      <c r="O294" s="6">
        <v>0.3</v>
      </c>
      <c r="P294" s="6">
        <v>-11</v>
      </c>
      <c r="Q294" s="6">
        <v>0.17</v>
      </c>
      <c r="R294" s="6">
        <v>5.1979199999999999</v>
      </c>
      <c r="S294" s="6">
        <v>-50.8</v>
      </c>
      <c r="T294" s="6">
        <v>2.1021000000000001</v>
      </c>
      <c r="U294" s="6">
        <v>4.4000000000000003E-3</v>
      </c>
      <c r="V294" s="6">
        <v>4.5999999999999996</v>
      </c>
      <c r="W294" s="6">
        <v>0.05</v>
      </c>
    </row>
    <row r="295" spans="1:23" x14ac:dyDescent="0.3">
      <c r="A295" s="7">
        <v>941</v>
      </c>
      <c r="B295" s="8" t="s">
        <v>117</v>
      </c>
      <c r="C295" s="8">
        <v>1.5</v>
      </c>
      <c r="D295" s="8" t="str">
        <f t="shared" si="4"/>
        <v>941,1950-1955,1,5</v>
      </c>
      <c r="E295" s="9">
        <v>0.1</v>
      </c>
      <c r="F295" s="9">
        <v>20</v>
      </c>
      <c r="G295" s="9">
        <v>0.1</v>
      </c>
      <c r="H295" s="9">
        <v>3</v>
      </c>
      <c r="I295" s="9">
        <v>3.2</v>
      </c>
      <c r="J295" s="9">
        <v>-13.5</v>
      </c>
      <c r="K295" s="9">
        <v>0</v>
      </c>
      <c r="L295" s="9">
        <v>5.46</v>
      </c>
      <c r="M295" s="9">
        <v>-6.2</v>
      </c>
      <c r="N295" s="9">
        <v>4</v>
      </c>
      <c r="O295" s="9">
        <v>0.3</v>
      </c>
      <c r="P295" s="9">
        <v>-11</v>
      </c>
      <c r="Q295" s="9">
        <v>0.17</v>
      </c>
      <c r="R295" s="9">
        <v>3.64364</v>
      </c>
      <c r="S295" s="9">
        <v>-20.9</v>
      </c>
      <c r="T295" s="9">
        <v>2.0256599999999998</v>
      </c>
      <c r="U295" s="9">
        <v>4.4000000000000003E-3</v>
      </c>
      <c r="V295" s="9">
        <v>4.5999999999999996</v>
      </c>
      <c r="W295" s="9">
        <v>0.05</v>
      </c>
    </row>
    <row r="296" spans="1:23" x14ac:dyDescent="0.3">
      <c r="A296" s="4">
        <v>941</v>
      </c>
      <c r="B296" s="5" t="s">
        <v>118</v>
      </c>
      <c r="C296" s="5">
        <v>1.5</v>
      </c>
      <c r="D296" s="5" t="str">
        <f t="shared" si="4"/>
        <v>941,1955-1960,1,5</v>
      </c>
      <c r="E296" s="6">
        <v>0.1</v>
      </c>
      <c r="F296" s="6">
        <v>20</v>
      </c>
      <c r="G296" s="6">
        <v>0.1</v>
      </c>
      <c r="H296" s="6">
        <v>3</v>
      </c>
      <c r="I296" s="6">
        <v>3.3</v>
      </c>
      <c r="J296" s="6">
        <v>-17.3</v>
      </c>
      <c r="K296" s="6">
        <v>0</v>
      </c>
      <c r="L296" s="6">
        <v>5.61</v>
      </c>
      <c r="M296" s="6">
        <v>-7.95</v>
      </c>
      <c r="N296" s="6">
        <v>4</v>
      </c>
      <c r="O296" s="6">
        <v>0.3</v>
      </c>
      <c r="P296" s="6">
        <v>-11</v>
      </c>
      <c r="Q296" s="6">
        <v>0.17</v>
      </c>
      <c r="R296" s="6">
        <v>3.4652799999999999</v>
      </c>
      <c r="S296" s="6">
        <v>-15.6</v>
      </c>
      <c r="T296" s="6">
        <v>2.0256599999999998</v>
      </c>
      <c r="U296" s="6">
        <v>4.4000000000000003E-3</v>
      </c>
      <c r="V296" s="6">
        <v>4.5999999999999996</v>
      </c>
      <c r="W296" s="6">
        <v>0.05</v>
      </c>
    </row>
    <row r="297" spans="1:23" x14ac:dyDescent="0.3">
      <c r="A297" s="7">
        <v>941</v>
      </c>
      <c r="B297" s="8" t="s">
        <v>119</v>
      </c>
      <c r="C297" s="8">
        <v>1.5</v>
      </c>
      <c r="D297" s="8" t="str">
        <f t="shared" si="4"/>
        <v>941,1960-1965,1,5</v>
      </c>
      <c r="E297" s="9">
        <v>0.1</v>
      </c>
      <c r="F297" s="9">
        <v>20</v>
      </c>
      <c r="G297" s="9">
        <v>0.1</v>
      </c>
      <c r="H297" s="9">
        <v>3</v>
      </c>
      <c r="I297" s="9">
        <v>3.3</v>
      </c>
      <c r="J297" s="9">
        <v>-17.3</v>
      </c>
      <c r="K297" s="9">
        <v>0</v>
      </c>
      <c r="L297" s="9">
        <v>4.62</v>
      </c>
      <c r="M297" s="9">
        <v>-2.29</v>
      </c>
      <c r="N297" s="9">
        <v>4</v>
      </c>
      <c r="O297" s="9">
        <v>0.3</v>
      </c>
      <c r="P297" s="9">
        <v>-11</v>
      </c>
      <c r="Q297" s="9">
        <v>0.17</v>
      </c>
      <c r="R297" s="9">
        <v>3.3251400000000002</v>
      </c>
      <c r="S297" s="9">
        <v>-13.4</v>
      </c>
      <c r="T297" s="9">
        <v>2.0766200000000001</v>
      </c>
      <c r="U297" s="9">
        <v>4.4000000000000003E-3</v>
      </c>
      <c r="V297" s="9">
        <v>4.5999999999999996</v>
      </c>
      <c r="W297" s="9">
        <v>0.05</v>
      </c>
    </row>
    <row r="298" spans="1:23" x14ac:dyDescent="0.3">
      <c r="A298" s="4">
        <v>941</v>
      </c>
      <c r="B298" s="5" t="s">
        <v>120</v>
      </c>
      <c r="C298" s="5">
        <v>1.5</v>
      </c>
      <c r="D298" s="5" t="str">
        <f t="shared" si="4"/>
        <v>941,1965-1970,1,5</v>
      </c>
      <c r="E298" s="6">
        <v>0.1</v>
      </c>
      <c r="F298" s="6">
        <v>20</v>
      </c>
      <c r="G298" s="6">
        <v>0.1</v>
      </c>
      <c r="H298" s="6">
        <v>3</v>
      </c>
      <c r="I298" s="6">
        <v>3.3</v>
      </c>
      <c r="J298" s="6">
        <v>-17.3</v>
      </c>
      <c r="K298" s="6">
        <v>0</v>
      </c>
      <c r="L298" s="6">
        <v>4.3099999999999996</v>
      </c>
      <c r="M298" s="6">
        <v>-0.28299999999999997</v>
      </c>
      <c r="N298" s="6">
        <v>3.95</v>
      </c>
      <c r="O298" s="6">
        <v>0.3</v>
      </c>
      <c r="P298" s="6">
        <v>-11</v>
      </c>
      <c r="Q298" s="6">
        <v>0.17</v>
      </c>
      <c r="R298" s="6">
        <v>2.98116</v>
      </c>
      <c r="S298" s="6">
        <v>-8.9</v>
      </c>
      <c r="T298" s="6">
        <v>2.1785399999999999</v>
      </c>
      <c r="U298" s="6">
        <v>4.4000000000000003E-3</v>
      </c>
      <c r="V298" s="6">
        <v>4.5999999999999996</v>
      </c>
      <c r="W298" s="6">
        <v>0.05</v>
      </c>
    </row>
    <row r="299" spans="1:23" x14ac:dyDescent="0.3">
      <c r="A299" s="7">
        <v>941</v>
      </c>
      <c r="B299" s="8" t="s">
        <v>121</v>
      </c>
      <c r="C299" s="8">
        <v>1.5</v>
      </c>
      <c r="D299" s="8" t="str">
        <f t="shared" si="4"/>
        <v>941,1970-1975,1,5</v>
      </c>
      <c r="E299" s="9">
        <v>0.1</v>
      </c>
      <c r="F299" s="9">
        <v>20</v>
      </c>
      <c r="G299" s="9">
        <v>0.1</v>
      </c>
      <c r="H299" s="9">
        <v>3</v>
      </c>
      <c r="I299" s="9">
        <v>3.3</v>
      </c>
      <c r="J299" s="9">
        <v>-17.3</v>
      </c>
      <c r="K299" s="9">
        <v>0</v>
      </c>
      <c r="L299" s="9">
        <v>5.31</v>
      </c>
      <c r="M299" s="9">
        <v>-7</v>
      </c>
      <c r="N299" s="9">
        <v>3.96</v>
      </c>
      <c r="O299" s="9">
        <v>0.3</v>
      </c>
      <c r="P299" s="9">
        <v>-11</v>
      </c>
      <c r="Q299" s="9">
        <v>0.17</v>
      </c>
      <c r="R299" s="9">
        <v>3.65638</v>
      </c>
      <c r="S299" s="9">
        <v>-31.1</v>
      </c>
      <c r="T299" s="9">
        <v>2.0384000000000002</v>
      </c>
      <c r="U299" s="9">
        <v>4.4000000000000003E-3</v>
      </c>
      <c r="V299" s="9">
        <v>4.5999999999999996</v>
      </c>
      <c r="W299" s="9">
        <v>0.05</v>
      </c>
    </row>
    <row r="300" spans="1:23" x14ac:dyDescent="0.3">
      <c r="A300" s="4">
        <v>941</v>
      </c>
      <c r="B300" s="5" t="s">
        <v>122</v>
      </c>
      <c r="C300" s="5">
        <v>1.5</v>
      </c>
      <c r="D300" s="5" t="str">
        <f t="shared" si="4"/>
        <v>941,1975-1980,1,5</v>
      </c>
      <c r="E300" s="6">
        <v>0.1</v>
      </c>
      <c r="F300" s="6">
        <v>20</v>
      </c>
      <c r="G300" s="6">
        <v>0.1</v>
      </c>
      <c r="H300" s="6">
        <v>3</v>
      </c>
      <c r="I300" s="6">
        <v>3.3</v>
      </c>
      <c r="J300" s="6">
        <v>-17.3</v>
      </c>
      <c r="K300" s="6">
        <v>0</v>
      </c>
      <c r="L300" s="6">
        <v>4.55</v>
      </c>
      <c r="M300" s="6">
        <v>-1.89</v>
      </c>
      <c r="N300" s="6">
        <v>3.98</v>
      </c>
      <c r="O300" s="6">
        <v>0.3</v>
      </c>
      <c r="P300" s="6">
        <v>-11</v>
      </c>
      <c r="Q300" s="6">
        <v>0.17</v>
      </c>
      <c r="R300" s="6">
        <v>3.1595200000000001</v>
      </c>
      <c r="S300" s="6">
        <v>-11.9</v>
      </c>
      <c r="T300" s="6">
        <v>2.0256599999999998</v>
      </c>
      <c r="U300" s="6">
        <v>4.4000000000000003E-3</v>
      </c>
      <c r="V300" s="6">
        <v>4.5999999999999996</v>
      </c>
      <c r="W300" s="6">
        <v>0.05</v>
      </c>
    </row>
    <row r="301" spans="1:23" x14ac:dyDescent="0.3">
      <c r="A301" s="7">
        <v>941</v>
      </c>
      <c r="B301" s="8" t="s">
        <v>123</v>
      </c>
      <c r="C301" s="8">
        <v>1.5</v>
      </c>
      <c r="D301" s="8" t="str">
        <f t="shared" si="4"/>
        <v>941,1980-1985,1,5</v>
      </c>
      <c r="E301" s="9">
        <v>0.1</v>
      </c>
      <c r="F301" s="9">
        <v>20</v>
      </c>
      <c r="G301" s="9">
        <v>0.1</v>
      </c>
      <c r="H301" s="9">
        <v>3</v>
      </c>
      <c r="I301" s="9">
        <v>3.3</v>
      </c>
      <c r="J301" s="9">
        <v>-17.3</v>
      </c>
      <c r="K301" s="9">
        <v>0</v>
      </c>
      <c r="L301" s="9">
        <v>5.12</v>
      </c>
      <c r="M301" s="9">
        <v>-5.39</v>
      </c>
      <c r="N301" s="9">
        <v>3.96</v>
      </c>
      <c r="O301" s="9">
        <v>0.3</v>
      </c>
      <c r="P301" s="9">
        <v>-11</v>
      </c>
      <c r="Q301" s="9">
        <v>0.17</v>
      </c>
      <c r="R301" s="9">
        <v>3.42706</v>
      </c>
      <c r="S301" s="9">
        <v>-18.399999999999999</v>
      </c>
      <c r="T301" s="9">
        <v>1.9746999999999999</v>
      </c>
      <c r="U301" s="9">
        <v>4.4000000000000003E-3</v>
      </c>
      <c r="V301" s="9">
        <v>4.5999999999999996</v>
      </c>
      <c r="W301" s="9">
        <v>0.05</v>
      </c>
    </row>
    <row r="302" spans="1:23" x14ac:dyDescent="0.3">
      <c r="A302" s="4">
        <v>941</v>
      </c>
      <c r="B302" s="5" t="s">
        <v>124</v>
      </c>
      <c r="C302" s="5">
        <v>1.5</v>
      </c>
      <c r="D302" s="5" t="str">
        <f t="shared" si="4"/>
        <v>941,1985-1990,1,5</v>
      </c>
      <c r="E302" s="6">
        <v>0.1</v>
      </c>
      <c r="F302" s="6">
        <v>20</v>
      </c>
      <c r="G302" s="6">
        <v>0.1</v>
      </c>
      <c r="H302" s="6">
        <v>3</v>
      </c>
      <c r="I302" s="6">
        <v>3.3</v>
      </c>
      <c r="J302" s="6">
        <v>-17.3</v>
      </c>
      <c r="K302" s="6">
        <v>0</v>
      </c>
      <c r="L302" s="6">
        <v>6.5</v>
      </c>
      <c r="M302" s="6">
        <v>-12.9</v>
      </c>
      <c r="N302" s="6">
        <v>3.96</v>
      </c>
      <c r="O302" s="6">
        <v>0.3</v>
      </c>
      <c r="P302" s="6">
        <v>-11</v>
      </c>
      <c r="Q302" s="6">
        <v>0.17</v>
      </c>
      <c r="R302" s="6">
        <v>3.6945999999999999</v>
      </c>
      <c r="S302" s="6">
        <v>-24.5</v>
      </c>
      <c r="T302" s="6">
        <v>1.911</v>
      </c>
      <c r="U302" s="6">
        <v>4.4000000000000003E-3</v>
      </c>
      <c r="V302" s="6">
        <v>4.5999999999999996</v>
      </c>
      <c r="W302" s="6">
        <v>0.05</v>
      </c>
    </row>
    <row r="303" spans="1:23" x14ac:dyDescent="0.3">
      <c r="A303" s="7">
        <v>941</v>
      </c>
      <c r="B303" s="8" t="s">
        <v>125</v>
      </c>
      <c r="C303" s="8">
        <v>1.5</v>
      </c>
      <c r="D303" s="8" t="str">
        <f t="shared" si="4"/>
        <v>941,1990-1995,1,5</v>
      </c>
      <c r="E303" s="9">
        <v>0.1</v>
      </c>
      <c r="F303" s="9">
        <v>20</v>
      </c>
      <c r="G303" s="9">
        <v>0.1</v>
      </c>
      <c r="H303" s="9">
        <v>3</v>
      </c>
      <c r="I303" s="9">
        <v>3.3</v>
      </c>
      <c r="J303" s="9">
        <v>-17.3</v>
      </c>
      <c r="K303" s="9">
        <v>0</v>
      </c>
      <c r="L303" s="9">
        <v>5.01</v>
      </c>
      <c r="M303" s="9">
        <v>-3.95</v>
      </c>
      <c r="N303" s="9">
        <v>3.95</v>
      </c>
      <c r="O303" s="9">
        <v>0.3</v>
      </c>
      <c r="P303" s="9">
        <v>-11</v>
      </c>
      <c r="Q303" s="9">
        <v>0.17</v>
      </c>
      <c r="R303" s="9">
        <v>3.42706</v>
      </c>
      <c r="S303" s="9">
        <v>-19.3</v>
      </c>
      <c r="T303" s="9">
        <v>1.82182</v>
      </c>
      <c r="U303" s="9">
        <v>4.4000000000000003E-3</v>
      </c>
      <c r="V303" s="9">
        <v>4.5999999999999996</v>
      </c>
      <c r="W303" s="9">
        <v>0.05</v>
      </c>
    </row>
    <row r="304" spans="1:23" x14ac:dyDescent="0.3">
      <c r="A304" s="4">
        <v>941</v>
      </c>
      <c r="B304" s="5" t="s">
        <v>126</v>
      </c>
      <c r="C304" s="5">
        <v>1.5</v>
      </c>
      <c r="D304" s="5" t="str">
        <f t="shared" si="4"/>
        <v>941,1995-2000,1,5</v>
      </c>
      <c r="E304" s="6">
        <v>0.1</v>
      </c>
      <c r="F304" s="6">
        <v>20</v>
      </c>
      <c r="G304" s="6">
        <v>0.1</v>
      </c>
      <c r="H304" s="6">
        <v>3</v>
      </c>
      <c r="I304" s="6">
        <v>3.3</v>
      </c>
      <c r="J304" s="6">
        <v>-17.3</v>
      </c>
      <c r="K304" s="6">
        <v>0</v>
      </c>
      <c r="L304" s="6">
        <v>5.29</v>
      </c>
      <c r="M304" s="6">
        <v>-5.51</v>
      </c>
      <c r="N304" s="6">
        <v>3.95</v>
      </c>
      <c r="O304" s="6">
        <v>0.3</v>
      </c>
      <c r="P304" s="6">
        <v>-11</v>
      </c>
      <c r="Q304" s="6">
        <v>0.17</v>
      </c>
      <c r="R304" s="6">
        <v>3.3251400000000002</v>
      </c>
      <c r="S304" s="6">
        <v>-19.3</v>
      </c>
      <c r="T304" s="6">
        <v>1.82182</v>
      </c>
      <c r="U304" s="6">
        <v>4.4000000000000003E-3</v>
      </c>
      <c r="V304" s="6">
        <v>4.5999999999999996</v>
      </c>
      <c r="W304" s="6">
        <v>0.05</v>
      </c>
    </row>
    <row r="305" spans="1:23" x14ac:dyDescent="0.3">
      <c r="A305" s="7">
        <v>941</v>
      </c>
      <c r="B305" s="8" t="s">
        <v>127</v>
      </c>
      <c r="C305" s="8">
        <v>1.5</v>
      </c>
      <c r="D305" s="8" t="str">
        <f t="shared" si="4"/>
        <v>941,2000-2005,1,5</v>
      </c>
      <c r="E305" s="9">
        <v>0.1</v>
      </c>
      <c r="F305" s="9">
        <v>20</v>
      </c>
      <c r="G305" s="9">
        <v>0.1</v>
      </c>
      <c r="H305" s="9">
        <v>3</v>
      </c>
      <c r="I305" s="9">
        <v>3.3</v>
      </c>
      <c r="J305" s="9">
        <v>-17.3</v>
      </c>
      <c r="K305" s="9">
        <v>0</v>
      </c>
      <c r="L305" s="9">
        <v>5.51</v>
      </c>
      <c r="M305" s="9">
        <v>-6.76</v>
      </c>
      <c r="N305" s="9">
        <v>3.96</v>
      </c>
      <c r="O305" s="9">
        <v>0.3</v>
      </c>
      <c r="P305" s="9">
        <v>-11</v>
      </c>
      <c r="Q305" s="9">
        <v>0.17</v>
      </c>
      <c r="R305" s="9">
        <v>3.1467800000000001</v>
      </c>
      <c r="S305" s="9">
        <v>-11.3</v>
      </c>
      <c r="T305" s="9">
        <v>1.82182</v>
      </c>
      <c r="U305" s="9">
        <v>4.4000000000000003E-3</v>
      </c>
      <c r="V305" s="9">
        <v>4.5999999999999996</v>
      </c>
      <c r="W305" s="9">
        <v>0.05</v>
      </c>
    </row>
    <row r="306" spans="1:23" x14ac:dyDescent="0.3">
      <c r="A306" s="4">
        <v>941</v>
      </c>
      <c r="B306" s="5" t="s">
        <v>128</v>
      </c>
      <c r="C306" s="5">
        <v>1.5</v>
      </c>
      <c r="D306" s="5" t="str">
        <f t="shared" si="4"/>
        <v>941,2005-2010,1,5</v>
      </c>
      <c r="E306" s="6">
        <v>0.1</v>
      </c>
      <c r="F306" s="6">
        <v>20</v>
      </c>
      <c r="G306" s="6">
        <v>0.1</v>
      </c>
      <c r="H306" s="6">
        <v>3</v>
      </c>
      <c r="I306" s="6">
        <v>3.3</v>
      </c>
      <c r="J306" s="6">
        <v>-17.3</v>
      </c>
      <c r="K306" s="6">
        <v>0</v>
      </c>
      <c r="L306" s="6">
        <v>5.03</v>
      </c>
      <c r="M306" s="6">
        <v>-3.78</v>
      </c>
      <c r="N306" s="6">
        <v>3.96</v>
      </c>
      <c r="O306" s="6">
        <v>0.3</v>
      </c>
      <c r="P306" s="6">
        <v>-11</v>
      </c>
      <c r="Q306" s="6">
        <v>0.17</v>
      </c>
      <c r="R306" s="6">
        <v>3.5162399999999998</v>
      </c>
      <c r="S306" s="6">
        <v>-19.100000000000001</v>
      </c>
      <c r="T306" s="6">
        <v>1.7581199999999999</v>
      </c>
      <c r="U306" s="6">
        <v>4.4000000000000003E-3</v>
      </c>
      <c r="V306" s="6">
        <v>4.5999999999999996</v>
      </c>
      <c r="W306" s="6">
        <v>0.05</v>
      </c>
    </row>
    <row r="307" spans="1:23" x14ac:dyDescent="0.3">
      <c r="A307" s="7">
        <v>941</v>
      </c>
      <c r="B307" s="8" t="s">
        <v>129</v>
      </c>
      <c r="C307" s="8">
        <v>1.5</v>
      </c>
      <c r="D307" s="8" t="str">
        <f t="shared" si="4"/>
        <v>941,2010-2015,1,5</v>
      </c>
      <c r="E307" s="9">
        <v>0.1</v>
      </c>
      <c r="F307" s="9">
        <v>20</v>
      </c>
      <c r="G307" s="9">
        <v>0.1</v>
      </c>
      <c r="H307" s="9">
        <v>3</v>
      </c>
      <c r="I307" s="9">
        <v>3.3</v>
      </c>
      <c r="J307" s="9">
        <v>-17.3</v>
      </c>
      <c r="K307" s="9">
        <v>0</v>
      </c>
      <c r="L307" s="9">
        <v>5.54</v>
      </c>
      <c r="M307" s="9">
        <v>-7.09</v>
      </c>
      <c r="N307" s="9">
        <v>3.95</v>
      </c>
      <c r="O307" s="9">
        <v>0.3</v>
      </c>
      <c r="P307" s="9">
        <v>-11</v>
      </c>
      <c r="Q307" s="9">
        <v>0.17</v>
      </c>
      <c r="R307" s="9">
        <v>3.2741799999999999</v>
      </c>
      <c r="S307" s="9">
        <v>-15.5</v>
      </c>
      <c r="T307" s="9">
        <v>1.73264</v>
      </c>
      <c r="U307" s="9">
        <v>4.4000000000000003E-3</v>
      </c>
      <c r="V307" s="9">
        <v>4.5999999999999996</v>
      </c>
      <c r="W307" s="9">
        <v>0.05</v>
      </c>
    </row>
    <row r="308" spans="1:23" x14ac:dyDescent="0.3">
      <c r="A308" s="4">
        <v>941</v>
      </c>
      <c r="B308" s="5" t="s">
        <v>130</v>
      </c>
      <c r="C308" s="5">
        <v>1.5</v>
      </c>
      <c r="D308" s="5" t="str">
        <f t="shared" si="4"/>
        <v>941,2015-2020,1,5</v>
      </c>
      <c r="E308" s="6">
        <v>0.1</v>
      </c>
      <c r="F308" s="6">
        <v>20</v>
      </c>
      <c r="G308" s="6">
        <v>0.1</v>
      </c>
      <c r="H308" s="6">
        <v>3</v>
      </c>
      <c r="I308" s="6">
        <v>3.3</v>
      </c>
      <c r="J308" s="6">
        <v>-17.3</v>
      </c>
      <c r="K308" s="6">
        <v>0</v>
      </c>
      <c r="L308" s="6">
        <v>5.71</v>
      </c>
      <c r="M308" s="6">
        <v>-7.66</v>
      </c>
      <c r="N308" s="6">
        <v>3.96</v>
      </c>
      <c r="O308" s="6">
        <v>0.3</v>
      </c>
      <c r="P308" s="6">
        <v>-11</v>
      </c>
      <c r="Q308" s="6">
        <v>0.17</v>
      </c>
      <c r="R308" s="6">
        <v>4.9048999999999996</v>
      </c>
      <c r="S308" s="6">
        <v>-39.6</v>
      </c>
      <c r="T308" s="6">
        <v>1.73264</v>
      </c>
      <c r="U308" s="6">
        <v>4.4000000000000003E-3</v>
      </c>
      <c r="V308" s="6">
        <v>4.5999999999999996</v>
      </c>
      <c r="W308" s="6">
        <v>0.05</v>
      </c>
    </row>
    <row r="309" spans="1:23" x14ac:dyDescent="0.3">
      <c r="A309" s="7">
        <v>941</v>
      </c>
      <c r="B309" s="8" t="s">
        <v>131</v>
      </c>
      <c r="C309" s="8">
        <v>1.5</v>
      </c>
      <c r="D309" s="8" t="str">
        <f t="shared" si="4"/>
        <v>941,2020-,1,5</v>
      </c>
      <c r="E309" s="9">
        <v>0.1</v>
      </c>
      <c r="F309" s="9">
        <v>20</v>
      </c>
      <c r="G309" s="9">
        <v>0.1</v>
      </c>
      <c r="H309" s="9">
        <v>3</v>
      </c>
      <c r="I309" s="9">
        <v>3.3</v>
      </c>
      <c r="J309" s="9">
        <v>-17.3</v>
      </c>
      <c r="K309" s="9">
        <v>0</v>
      </c>
      <c r="L309" s="9">
        <v>5.09</v>
      </c>
      <c r="M309" s="9">
        <v>-4.1399999999999997</v>
      </c>
      <c r="N309" s="9">
        <v>3.97</v>
      </c>
      <c r="O309" s="9">
        <v>0.3</v>
      </c>
      <c r="P309" s="9">
        <v>-11</v>
      </c>
      <c r="Q309" s="9">
        <v>0.17</v>
      </c>
      <c r="R309" s="9">
        <v>2.9302000000000001</v>
      </c>
      <c r="S309" s="9">
        <v>12.1</v>
      </c>
      <c r="T309" s="9">
        <v>2.0766200000000001</v>
      </c>
      <c r="U309" s="9">
        <v>4.4000000000000003E-3</v>
      </c>
      <c r="V309" s="9">
        <v>4.5999999999999996</v>
      </c>
      <c r="W309" s="9">
        <v>0.05</v>
      </c>
    </row>
    <row r="310" spans="1:23" x14ac:dyDescent="0.3">
      <c r="A310" s="4">
        <v>941</v>
      </c>
      <c r="B310" s="5">
        <v>-1920</v>
      </c>
      <c r="C310" s="5">
        <v>2</v>
      </c>
      <c r="D310" s="5" t="str">
        <f t="shared" si="4"/>
        <v>941,-1920,2</v>
      </c>
      <c r="E310" s="6">
        <v>0.48599999999999999</v>
      </c>
      <c r="F310" s="6">
        <v>28.6</v>
      </c>
      <c r="G310" s="6">
        <v>0.5</v>
      </c>
      <c r="H310" s="6">
        <v>2</v>
      </c>
      <c r="I310" s="6">
        <v>3</v>
      </c>
      <c r="J310" s="6">
        <v>-5.0999999999999996</v>
      </c>
      <c r="K310" s="6">
        <v>0</v>
      </c>
      <c r="L310" s="6">
        <v>4.97</v>
      </c>
      <c r="M310" s="6">
        <v>-3.42</v>
      </c>
      <c r="N310" s="6">
        <v>3.92</v>
      </c>
      <c r="O310" s="6">
        <v>0.38300000000000001</v>
      </c>
      <c r="P310" s="6">
        <v>-6</v>
      </c>
      <c r="Q310" s="6">
        <v>0.29299999999999998</v>
      </c>
      <c r="R310" s="6">
        <v>3.2284999999999999</v>
      </c>
      <c r="S310" s="6">
        <v>-23.9</v>
      </c>
      <c r="T310" s="6">
        <v>1.27</v>
      </c>
      <c r="U310" s="6">
        <v>4.4000000000000003E-3</v>
      </c>
      <c r="V310" s="6">
        <v>4.5999999999999996</v>
      </c>
      <c r="W310" s="6">
        <v>5.8000000000000003E-2</v>
      </c>
    </row>
    <row r="311" spans="1:23" x14ac:dyDescent="0.3">
      <c r="A311" s="7">
        <v>941</v>
      </c>
      <c r="B311" s="8" t="s">
        <v>111</v>
      </c>
      <c r="C311" s="8">
        <v>2</v>
      </c>
      <c r="D311" s="8" t="str">
        <f t="shared" si="4"/>
        <v>941,1920-1925,2</v>
      </c>
      <c r="E311" s="9">
        <v>0.39200000000000002</v>
      </c>
      <c r="F311" s="9">
        <v>38</v>
      </c>
      <c r="G311" s="9">
        <v>0.48599999999999999</v>
      </c>
      <c r="H311" s="9">
        <v>2</v>
      </c>
      <c r="I311" s="9">
        <v>3</v>
      </c>
      <c r="J311" s="9">
        <v>-4.9000000000000004</v>
      </c>
      <c r="K311" s="9">
        <v>0</v>
      </c>
      <c r="L311" s="9">
        <v>6.14</v>
      </c>
      <c r="M311" s="9">
        <v>-10.4</v>
      </c>
      <c r="N311" s="9">
        <v>3.94</v>
      </c>
      <c r="O311" s="9">
        <v>0.37840000000000001</v>
      </c>
      <c r="P311" s="9">
        <v>-5.4</v>
      </c>
      <c r="Q311" s="9">
        <v>0.28299999999999997</v>
      </c>
      <c r="R311" s="9">
        <v>2.2188599999999998</v>
      </c>
      <c r="S311" s="9">
        <v>4.29</v>
      </c>
      <c r="T311" s="9">
        <v>1.63</v>
      </c>
      <c r="U311" s="9">
        <v>4.4000000000000003E-3</v>
      </c>
      <c r="V311" s="9">
        <v>4.5999999999999996</v>
      </c>
      <c r="W311" s="9">
        <v>5.8000000000000003E-2</v>
      </c>
    </row>
    <row r="312" spans="1:23" x14ac:dyDescent="0.3">
      <c r="A312" s="4">
        <v>941</v>
      </c>
      <c r="B312" s="5" t="s">
        <v>112</v>
      </c>
      <c r="C312" s="5">
        <v>2</v>
      </c>
      <c r="D312" s="5" t="str">
        <f t="shared" si="4"/>
        <v>941,1925-1930,2</v>
      </c>
      <c r="E312" s="6">
        <v>0.34599999999999997</v>
      </c>
      <c r="F312" s="6">
        <v>40.6</v>
      </c>
      <c r="G312" s="6">
        <v>0.49399999999999999</v>
      </c>
      <c r="H312" s="6">
        <v>2</v>
      </c>
      <c r="I312" s="6">
        <v>2.9</v>
      </c>
      <c r="J312" s="6">
        <v>-0.4</v>
      </c>
      <c r="K312" s="6">
        <v>0</v>
      </c>
      <c r="L312" s="6">
        <v>5.29</v>
      </c>
      <c r="M312" s="6">
        <v>-5.37</v>
      </c>
      <c r="N312" s="6">
        <v>3.97</v>
      </c>
      <c r="O312" s="6">
        <v>0.37769999999999998</v>
      </c>
      <c r="P312" s="6">
        <v>-5.3</v>
      </c>
      <c r="Q312" s="6">
        <v>0.28100000000000003</v>
      </c>
      <c r="R312" s="6">
        <v>2.9819599999999999</v>
      </c>
      <c r="S312" s="6">
        <v>-13.3</v>
      </c>
      <c r="T312" s="6">
        <v>1.89</v>
      </c>
      <c r="U312" s="6">
        <v>4.4000000000000003E-3</v>
      </c>
      <c r="V312" s="6">
        <v>4.5999999999999996</v>
      </c>
      <c r="W312" s="6">
        <v>5.8000000000000003E-2</v>
      </c>
    </row>
    <row r="313" spans="1:23" x14ac:dyDescent="0.3">
      <c r="A313" s="7">
        <v>941</v>
      </c>
      <c r="B313" s="8" t="s">
        <v>113</v>
      </c>
      <c r="C313" s="8">
        <v>2</v>
      </c>
      <c r="D313" s="8" t="str">
        <f t="shared" si="4"/>
        <v>941,1930-1935,2</v>
      </c>
      <c r="E313" s="9">
        <v>0.36799999999999999</v>
      </c>
      <c r="F313" s="9">
        <v>36.6</v>
      </c>
      <c r="G313" s="9">
        <v>0.47099999999999997</v>
      </c>
      <c r="H313" s="9">
        <v>2</v>
      </c>
      <c r="I313" s="9">
        <v>3.3</v>
      </c>
      <c r="J313" s="9">
        <v>-10.8</v>
      </c>
      <c r="K313" s="9">
        <v>0</v>
      </c>
      <c r="L313" s="9">
        <v>4.8600000000000003</v>
      </c>
      <c r="M313" s="9">
        <v>-3.1</v>
      </c>
      <c r="N313" s="9">
        <v>3.96</v>
      </c>
      <c r="O313" s="9">
        <v>0.38150000000000001</v>
      </c>
      <c r="P313" s="9">
        <v>-5.7</v>
      </c>
      <c r="Q313" s="9">
        <v>0.28299999999999997</v>
      </c>
      <c r="R313" s="9">
        <v>3.0758800000000002</v>
      </c>
      <c r="S313" s="9">
        <v>-14.4</v>
      </c>
      <c r="T313" s="9">
        <v>1.94</v>
      </c>
      <c r="U313" s="9">
        <v>4.4000000000000003E-3</v>
      </c>
      <c r="V313" s="9">
        <v>4.5999999999999996</v>
      </c>
      <c r="W313" s="9">
        <v>5.8000000000000003E-2</v>
      </c>
    </row>
    <row r="314" spans="1:23" x14ac:dyDescent="0.3">
      <c r="A314" s="4">
        <v>941</v>
      </c>
      <c r="B314" s="5" t="s">
        <v>114</v>
      </c>
      <c r="C314" s="5">
        <v>2</v>
      </c>
      <c r="D314" s="5" t="str">
        <f t="shared" si="4"/>
        <v>941,1935-1940,2</v>
      </c>
      <c r="E314" s="6">
        <v>0.312</v>
      </c>
      <c r="F314" s="6">
        <v>44.2</v>
      </c>
      <c r="G314" s="6">
        <v>0.47399999999999998</v>
      </c>
      <c r="H314" s="6">
        <v>2</v>
      </c>
      <c r="I314" s="6">
        <v>3</v>
      </c>
      <c r="J314" s="6">
        <v>-4.4000000000000004</v>
      </c>
      <c r="K314" s="6">
        <v>0</v>
      </c>
      <c r="L314" s="6">
        <v>4.62</v>
      </c>
      <c r="M314" s="6">
        <v>-0.91900000000000004</v>
      </c>
      <c r="N314" s="6">
        <v>3.96</v>
      </c>
      <c r="O314" s="6">
        <v>0.38750000000000001</v>
      </c>
      <c r="P314" s="6">
        <v>-5.9</v>
      </c>
      <c r="Q314" s="6">
        <v>0.27800000000000002</v>
      </c>
      <c r="R314" s="6">
        <v>3.1932800000000001</v>
      </c>
      <c r="S314" s="6">
        <v>-19.100000000000001</v>
      </c>
      <c r="T314" s="6">
        <v>1.82</v>
      </c>
      <c r="U314" s="6">
        <v>4.4000000000000003E-3</v>
      </c>
      <c r="V314" s="6">
        <v>4.5999999999999996</v>
      </c>
      <c r="W314" s="6">
        <v>5.8000000000000003E-2</v>
      </c>
    </row>
    <row r="315" spans="1:23" x14ac:dyDescent="0.3">
      <c r="A315" s="7">
        <v>941</v>
      </c>
      <c r="B315" s="8" t="s">
        <v>115</v>
      </c>
      <c r="C315" s="8">
        <v>2</v>
      </c>
      <c r="D315" s="8" t="str">
        <f t="shared" si="4"/>
        <v>941,1940-1945,2</v>
      </c>
      <c r="E315" s="9">
        <v>0.32900000000000001</v>
      </c>
      <c r="F315" s="9">
        <v>43.2</v>
      </c>
      <c r="G315" s="9">
        <v>0.46100000000000002</v>
      </c>
      <c r="H315" s="9">
        <v>2</v>
      </c>
      <c r="I315" s="9">
        <v>3.1</v>
      </c>
      <c r="J315" s="9">
        <v>-7.8</v>
      </c>
      <c r="K315" s="9">
        <v>0</v>
      </c>
      <c r="L315" s="9">
        <v>5.24</v>
      </c>
      <c r="M315" s="9">
        <v>-5.3</v>
      </c>
      <c r="N315" s="9">
        <v>4</v>
      </c>
      <c r="O315" s="9">
        <v>0.38119999999999998</v>
      </c>
      <c r="P315" s="9">
        <v>-5.9</v>
      </c>
      <c r="Q315" s="9">
        <v>0.27800000000000002</v>
      </c>
      <c r="R315" s="9">
        <v>2.54758</v>
      </c>
      <c r="S315" s="9">
        <v>-2.96</v>
      </c>
      <c r="T315" s="9">
        <v>1.84</v>
      </c>
      <c r="U315" s="9">
        <v>4.4000000000000003E-3</v>
      </c>
      <c r="V315" s="9">
        <v>4.5999999999999996</v>
      </c>
      <c r="W315" s="9">
        <v>5.8000000000000003E-2</v>
      </c>
    </row>
    <row r="316" spans="1:23" x14ac:dyDescent="0.3">
      <c r="A316" s="4">
        <v>941</v>
      </c>
      <c r="B316" s="5" t="s">
        <v>116</v>
      </c>
      <c r="C316" s="5">
        <v>2</v>
      </c>
      <c r="D316" s="5" t="str">
        <f t="shared" si="4"/>
        <v>941,1945-1950,2</v>
      </c>
      <c r="E316" s="6">
        <v>0.158</v>
      </c>
      <c r="F316" s="6">
        <v>66.2</v>
      </c>
      <c r="G316" s="6">
        <v>0.49199999999999999</v>
      </c>
      <c r="H316" s="6">
        <v>2</v>
      </c>
      <c r="I316" s="6">
        <v>3</v>
      </c>
      <c r="J316" s="6">
        <v>-3.6</v>
      </c>
      <c r="K316" s="6">
        <v>0</v>
      </c>
      <c r="L316" s="6">
        <v>4.68</v>
      </c>
      <c r="M316" s="6">
        <v>-2.04</v>
      </c>
      <c r="N316" s="6">
        <v>4</v>
      </c>
      <c r="O316" s="6">
        <v>0.37740000000000001</v>
      </c>
      <c r="P316" s="6">
        <v>-5.3</v>
      </c>
      <c r="Q316" s="6">
        <v>0.28299999999999997</v>
      </c>
      <c r="R316" s="6">
        <v>4.7899200000000004</v>
      </c>
      <c r="S316" s="6">
        <v>-50.8</v>
      </c>
      <c r="T316" s="6">
        <v>1.65</v>
      </c>
      <c r="U316" s="6">
        <v>4.4000000000000003E-3</v>
      </c>
      <c r="V316" s="6">
        <v>4.5999999999999996</v>
      </c>
      <c r="W316" s="6">
        <v>5.8000000000000003E-2</v>
      </c>
    </row>
    <row r="317" spans="1:23" x14ac:dyDescent="0.3">
      <c r="A317" s="7">
        <v>941</v>
      </c>
      <c r="B317" s="8" t="s">
        <v>117</v>
      </c>
      <c r="C317" s="8">
        <v>2</v>
      </c>
      <c r="D317" s="8" t="str">
        <f t="shared" si="4"/>
        <v>941,1950-1955,2</v>
      </c>
      <c r="E317" s="9">
        <v>0.22700000000000001</v>
      </c>
      <c r="F317" s="9">
        <v>58.3</v>
      </c>
      <c r="G317" s="9">
        <v>0.51900000000000002</v>
      </c>
      <c r="H317" s="9">
        <v>2</v>
      </c>
      <c r="I317" s="9">
        <v>3.1</v>
      </c>
      <c r="J317" s="9">
        <v>-5.7</v>
      </c>
      <c r="K317" s="9">
        <v>0</v>
      </c>
      <c r="L317" s="9">
        <v>5.46</v>
      </c>
      <c r="M317" s="9">
        <v>-6.2</v>
      </c>
      <c r="N317" s="9">
        <v>4</v>
      </c>
      <c r="O317" s="9">
        <v>0.36980000000000002</v>
      </c>
      <c r="P317" s="9">
        <v>-4.5</v>
      </c>
      <c r="Q317" s="9">
        <v>0.28299999999999997</v>
      </c>
      <c r="R317" s="9">
        <v>3.35764</v>
      </c>
      <c r="S317" s="9">
        <v>-20.9</v>
      </c>
      <c r="T317" s="9">
        <v>1.59</v>
      </c>
      <c r="U317" s="9">
        <v>4.4000000000000003E-3</v>
      </c>
      <c r="V317" s="9">
        <v>4.5999999999999996</v>
      </c>
      <c r="W317" s="9">
        <v>5.8000000000000003E-2</v>
      </c>
    </row>
    <row r="318" spans="1:23" x14ac:dyDescent="0.3">
      <c r="A318" s="4">
        <v>941</v>
      </c>
      <c r="B318" s="5" t="s">
        <v>118</v>
      </c>
      <c r="C318" s="5">
        <v>2</v>
      </c>
      <c r="D318" s="5" t="str">
        <f t="shared" si="4"/>
        <v>941,1955-1960,2</v>
      </c>
      <c r="E318" s="6">
        <v>0.29499999999999998</v>
      </c>
      <c r="F318" s="6">
        <v>49.4</v>
      </c>
      <c r="G318" s="6">
        <v>0.50600000000000001</v>
      </c>
      <c r="H318" s="6">
        <v>2</v>
      </c>
      <c r="I318" s="6">
        <v>3.1</v>
      </c>
      <c r="J318" s="6">
        <v>-7.2</v>
      </c>
      <c r="K318" s="6">
        <v>0</v>
      </c>
      <c r="L318" s="6">
        <v>5.61</v>
      </c>
      <c r="M318" s="6">
        <v>-7.95</v>
      </c>
      <c r="N318" s="6">
        <v>4</v>
      </c>
      <c r="O318" s="6">
        <v>0.37190000000000001</v>
      </c>
      <c r="P318" s="6">
        <v>-4.8</v>
      </c>
      <c r="Q318" s="6">
        <v>0.28299999999999997</v>
      </c>
      <c r="R318" s="6">
        <v>3.1932800000000001</v>
      </c>
      <c r="S318" s="6">
        <v>-15.6</v>
      </c>
      <c r="T318" s="6">
        <v>1.59</v>
      </c>
      <c r="U318" s="6">
        <v>4.4000000000000003E-3</v>
      </c>
      <c r="V318" s="6">
        <v>4.5999999999999996</v>
      </c>
      <c r="W318" s="6">
        <v>5.8000000000000003E-2</v>
      </c>
    </row>
    <row r="319" spans="1:23" x14ac:dyDescent="0.3">
      <c r="A319" s="7">
        <v>941</v>
      </c>
      <c r="B319" s="8" t="s">
        <v>119</v>
      </c>
      <c r="C319" s="8">
        <v>2</v>
      </c>
      <c r="D319" s="8" t="str">
        <f t="shared" si="4"/>
        <v>941,1960-1965,2</v>
      </c>
      <c r="E319" s="9">
        <v>0.38500000000000001</v>
      </c>
      <c r="F319" s="9">
        <v>44.2</v>
      </c>
      <c r="G319" s="9">
        <v>0.51400000000000001</v>
      </c>
      <c r="H319" s="9">
        <v>2</v>
      </c>
      <c r="I319" s="9">
        <v>2.9</v>
      </c>
      <c r="J319" s="9">
        <v>-3.1</v>
      </c>
      <c r="K319" s="9">
        <v>0</v>
      </c>
      <c r="L319" s="9">
        <v>4.62</v>
      </c>
      <c r="M319" s="9">
        <v>-2.29</v>
      </c>
      <c r="N319" s="9">
        <v>4</v>
      </c>
      <c r="O319" s="9">
        <v>0.36449999999999999</v>
      </c>
      <c r="P319" s="9">
        <v>-3.9</v>
      </c>
      <c r="Q319" s="9">
        <v>0.29199999999999998</v>
      </c>
      <c r="R319" s="9">
        <v>3.0641400000000001</v>
      </c>
      <c r="S319" s="9">
        <v>-13.4</v>
      </c>
      <c r="T319" s="9">
        <v>1.63</v>
      </c>
      <c r="U319" s="9">
        <v>4.4000000000000003E-3</v>
      </c>
      <c r="V319" s="9">
        <v>4.5999999999999996</v>
      </c>
      <c r="W319" s="9">
        <v>5.8000000000000003E-2</v>
      </c>
    </row>
    <row r="320" spans="1:23" x14ac:dyDescent="0.3">
      <c r="A320" s="4">
        <v>941</v>
      </c>
      <c r="B320" s="5" t="s">
        <v>120</v>
      </c>
      <c r="C320" s="5">
        <v>2</v>
      </c>
      <c r="D320" s="5" t="str">
        <f t="shared" si="4"/>
        <v>941,1965-1970,2</v>
      </c>
      <c r="E320" s="6">
        <v>0.42899999999999999</v>
      </c>
      <c r="F320" s="6">
        <v>47.1</v>
      </c>
      <c r="G320" s="6">
        <v>0.496</v>
      </c>
      <c r="H320" s="6">
        <v>2</v>
      </c>
      <c r="I320" s="6">
        <v>3</v>
      </c>
      <c r="J320" s="6">
        <v>-5.4</v>
      </c>
      <c r="K320" s="6">
        <v>0</v>
      </c>
      <c r="L320" s="6">
        <v>4.3099999999999996</v>
      </c>
      <c r="M320" s="6">
        <v>-0.28299999999999997</v>
      </c>
      <c r="N320" s="6">
        <v>3.95</v>
      </c>
      <c r="O320" s="6">
        <v>0.3745</v>
      </c>
      <c r="P320" s="6">
        <v>-5.4</v>
      </c>
      <c r="Q320" s="6">
        <v>0.29699999999999999</v>
      </c>
      <c r="R320" s="6">
        <v>2.74716</v>
      </c>
      <c r="S320" s="6">
        <v>-8.9</v>
      </c>
      <c r="T320" s="6">
        <v>1.71</v>
      </c>
      <c r="U320" s="6">
        <v>4.4000000000000003E-3</v>
      </c>
      <c r="V320" s="6">
        <v>4.5999999999999996</v>
      </c>
      <c r="W320" s="6">
        <v>5.8000000000000003E-2</v>
      </c>
    </row>
    <row r="321" spans="1:23" x14ac:dyDescent="0.3">
      <c r="A321" s="7">
        <v>941</v>
      </c>
      <c r="B321" s="8" t="s">
        <v>121</v>
      </c>
      <c r="C321" s="8">
        <v>2</v>
      </c>
      <c r="D321" s="8" t="str">
        <f t="shared" si="4"/>
        <v>941,1970-1975,2</v>
      </c>
      <c r="E321" s="9">
        <v>0.40200000000000002</v>
      </c>
      <c r="F321" s="9">
        <v>66</v>
      </c>
      <c r="G321" s="9">
        <v>0.49299999999999999</v>
      </c>
      <c r="H321" s="9">
        <v>2</v>
      </c>
      <c r="I321" s="9">
        <v>2.8</v>
      </c>
      <c r="J321" s="9">
        <v>1</v>
      </c>
      <c r="K321" s="9">
        <v>0</v>
      </c>
      <c r="L321" s="9">
        <v>5.31</v>
      </c>
      <c r="M321" s="9">
        <v>-7</v>
      </c>
      <c r="N321" s="9">
        <v>3.96</v>
      </c>
      <c r="O321" s="9">
        <v>0.37640000000000001</v>
      </c>
      <c r="P321" s="9">
        <v>-5.3</v>
      </c>
      <c r="Q321" s="9">
        <v>0.31</v>
      </c>
      <c r="R321" s="9">
        <v>3.36938</v>
      </c>
      <c r="S321" s="9">
        <v>-31.1</v>
      </c>
      <c r="T321" s="9">
        <v>1.6</v>
      </c>
      <c r="U321" s="9">
        <v>4.4000000000000003E-3</v>
      </c>
      <c r="V321" s="9">
        <v>4.5999999999999996</v>
      </c>
      <c r="W321" s="9">
        <v>5.8000000000000003E-2</v>
      </c>
    </row>
    <row r="322" spans="1:23" x14ac:dyDescent="0.3">
      <c r="A322" s="4">
        <v>941</v>
      </c>
      <c r="B322" s="5" t="s">
        <v>122</v>
      </c>
      <c r="C322" s="5">
        <v>2</v>
      </c>
      <c r="D322" s="5" t="str">
        <f t="shared" si="4"/>
        <v>941,1975-1980,2</v>
      </c>
      <c r="E322" s="6">
        <v>0.442</v>
      </c>
      <c r="F322" s="6">
        <v>44.2</v>
      </c>
      <c r="G322" s="6">
        <v>0.45800000000000002</v>
      </c>
      <c r="H322" s="6">
        <v>2</v>
      </c>
      <c r="I322" s="6">
        <v>2.8</v>
      </c>
      <c r="J322" s="6">
        <v>4.3</v>
      </c>
      <c r="K322" s="6">
        <v>0</v>
      </c>
      <c r="L322" s="6">
        <v>4.55</v>
      </c>
      <c r="M322" s="6">
        <v>-1.89</v>
      </c>
      <c r="N322" s="6">
        <v>3.98</v>
      </c>
      <c r="O322" s="6">
        <v>0.37669999999999998</v>
      </c>
      <c r="P322" s="6">
        <v>-5.4</v>
      </c>
      <c r="Q322" s="6">
        <v>0.316</v>
      </c>
      <c r="R322" s="6">
        <v>2.9115199999999999</v>
      </c>
      <c r="S322" s="6">
        <v>-11.9</v>
      </c>
      <c r="T322" s="6">
        <v>1.59</v>
      </c>
      <c r="U322" s="6">
        <v>4.4000000000000003E-3</v>
      </c>
      <c r="V322" s="6">
        <v>4.5999999999999996</v>
      </c>
      <c r="W322" s="6">
        <v>5.8000000000000003E-2</v>
      </c>
    </row>
    <row r="323" spans="1:23" x14ac:dyDescent="0.3">
      <c r="A323" s="7">
        <v>941</v>
      </c>
      <c r="B323" s="8" t="s">
        <v>123</v>
      </c>
      <c r="C323" s="8">
        <v>2</v>
      </c>
      <c r="D323" s="8" t="str">
        <f t="shared" ref="D323:D353" si="5">CONCATENATE(A323,",",B323,",",C323)</f>
        <v>941,1980-1985,2</v>
      </c>
      <c r="E323" s="9">
        <v>0.42399999999999999</v>
      </c>
      <c r="F323" s="9">
        <v>32.1</v>
      </c>
      <c r="G323" s="9">
        <v>0.46500000000000002</v>
      </c>
      <c r="H323" s="9">
        <v>2</v>
      </c>
      <c r="I323" s="9">
        <v>2.6</v>
      </c>
      <c r="J323" s="9">
        <v>7.8</v>
      </c>
      <c r="K323" s="9">
        <v>0</v>
      </c>
      <c r="L323" s="9">
        <v>5.12</v>
      </c>
      <c r="M323" s="9">
        <v>-5.39</v>
      </c>
      <c r="N323" s="9">
        <v>3.96</v>
      </c>
      <c r="O323" s="9">
        <v>0.4753</v>
      </c>
      <c r="P323" s="9">
        <v>-19.3</v>
      </c>
      <c r="Q323" s="9">
        <v>0.32</v>
      </c>
      <c r="R323" s="9">
        <v>3.1580599999999999</v>
      </c>
      <c r="S323" s="9">
        <v>-18.399999999999999</v>
      </c>
      <c r="T323" s="9">
        <v>1.55</v>
      </c>
      <c r="U323" s="9">
        <v>4.4000000000000003E-3</v>
      </c>
      <c r="V323" s="9">
        <v>4.5999999999999996</v>
      </c>
      <c r="W323" s="9">
        <v>5.8000000000000003E-2</v>
      </c>
    </row>
    <row r="324" spans="1:23" x14ac:dyDescent="0.3">
      <c r="A324" s="4">
        <v>941</v>
      </c>
      <c r="B324" s="5" t="s">
        <v>124</v>
      </c>
      <c r="C324" s="5">
        <v>2</v>
      </c>
      <c r="D324" s="5" t="str">
        <f t="shared" si="5"/>
        <v>941,1985-1990,2</v>
      </c>
      <c r="E324" s="6">
        <v>0.35899999999999999</v>
      </c>
      <c r="F324" s="6">
        <v>40.700000000000003</v>
      </c>
      <c r="G324" s="6">
        <v>0.5</v>
      </c>
      <c r="H324" s="6">
        <v>2.1</v>
      </c>
      <c r="I324" s="6">
        <v>2.8</v>
      </c>
      <c r="J324" s="6">
        <v>0.1</v>
      </c>
      <c r="K324" s="6">
        <v>0</v>
      </c>
      <c r="L324" s="6">
        <v>6.5</v>
      </c>
      <c r="M324" s="6">
        <v>-12.9</v>
      </c>
      <c r="N324" s="6">
        <v>3.96</v>
      </c>
      <c r="O324" s="6">
        <v>0.37440000000000001</v>
      </c>
      <c r="P324" s="6">
        <v>2.5</v>
      </c>
      <c r="Q324" s="6">
        <v>0.32700000000000001</v>
      </c>
      <c r="R324" s="6">
        <v>3.4045999999999998</v>
      </c>
      <c r="S324" s="6">
        <v>-24.5</v>
      </c>
      <c r="T324" s="6">
        <v>1.5</v>
      </c>
      <c r="U324" s="6">
        <v>4.4000000000000003E-3</v>
      </c>
      <c r="V324" s="6">
        <v>4.5999999999999996</v>
      </c>
      <c r="W324" s="6">
        <v>5.8000000000000003E-2</v>
      </c>
    </row>
    <row r="325" spans="1:23" x14ac:dyDescent="0.3">
      <c r="A325" s="7">
        <v>941</v>
      </c>
      <c r="B325" s="8" t="s">
        <v>125</v>
      </c>
      <c r="C325" s="8">
        <v>2</v>
      </c>
      <c r="D325" s="8" t="str">
        <f t="shared" si="5"/>
        <v>941,1990-1995,2</v>
      </c>
      <c r="E325" s="9">
        <v>0.376</v>
      </c>
      <c r="F325" s="9">
        <v>38</v>
      </c>
      <c r="G325" s="9">
        <v>0.502</v>
      </c>
      <c r="H325" s="9">
        <v>2.1</v>
      </c>
      <c r="I325" s="9">
        <v>2</v>
      </c>
      <c r="J325" s="9">
        <v>28</v>
      </c>
      <c r="K325" s="9">
        <v>0</v>
      </c>
      <c r="L325" s="9">
        <v>5.01</v>
      </c>
      <c r="M325" s="9">
        <v>-3.95</v>
      </c>
      <c r="N325" s="9">
        <v>3.95</v>
      </c>
      <c r="O325" s="9">
        <v>0.35970000000000002</v>
      </c>
      <c r="P325" s="9">
        <v>3.9</v>
      </c>
      <c r="Q325" s="9">
        <v>0.32</v>
      </c>
      <c r="R325" s="9">
        <v>3.1580599999999999</v>
      </c>
      <c r="S325" s="9">
        <v>-19.3</v>
      </c>
      <c r="T325" s="9">
        <v>1.43</v>
      </c>
      <c r="U325" s="9">
        <v>4.4000000000000003E-3</v>
      </c>
      <c r="V325" s="9">
        <v>4.5999999999999996</v>
      </c>
      <c r="W325" s="9">
        <v>5.8000000000000003E-2</v>
      </c>
    </row>
    <row r="326" spans="1:23" x14ac:dyDescent="0.3">
      <c r="A326" s="4">
        <v>941</v>
      </c>
      <c r="B326" s="5" t="s">
        <v>126</v>
      </c>
      <c r="C326" s="5">
        <v>2</v>
      </c>
      <c r="D326" s="5" t="str">
        <f t="shared" si="5"/>
        <v>941,1995-2000,2</v>
      </c>
      <c r="E326" s="6">
        <v>0.51500000000000001</v>
      </c>
      <c r="F326" s="6">
        <v>26.4</v>
      </c>
      <c r="G326" s="6">
        <v>0.52</v>
      </c>
      <c r="H326" s="6">
        <v>2.2000000000000002</v>
      </c>
      <c r="I326" s="6">
        <v>3</v>
      </c>
      <c r="J326" s="6">
        <v>-4.5</v>
      </c>
      <c r="K326" s="6">
        <v>0</v>
      </c>
      <c r="L326" s="6">
        <v>5.29</v>
      </c>
      <c r="M326" s="6">
        <v>-5.51</v>
      </c>
      <c r="N326" s="6">
        <v>3.95</v>
      </c>
      <c r="O326" s="6">
        <v>0.33710000000000001</v>
      </c>
      <c r="P326" s="6">
        <v>-1.7</v>
      </c>
      <c r="Q326" s="6">
        <v>0.222</v>
      </c>
      <c r="R326" s="6">
        <v>3.0641400000000001</v>
      </c>
      <c r="S326" s="6">
        <v>-19.3</v>
      </c>
      <c r="T326" s="6">
        <v>1.43</v>
      </c>
      <c r="U326" s="6">
        <v>4.4000000000000003E-3</v>
      </c>
      <c r="V326" s="6">
        <v>4.5999999999999996</v>
      </c>
      <c r="W326" s="6">
        <v>5.8000000000000003E-2</v>
      </c>
    </row>
    <row r="327" spans="1:23" x14ac:dyDescent="0.3">
      <c r="A327" s="7">
        <v>941</v>
      </c>
      <c r="B327" s="8" t="s">
        <v>127</v>
      </c>
      <c r="C327" s="8">
        <v>2</v>
      </c>
      <c r="D327" s="8" t="str">
        <f t="shared" si="5"/>
        <v>941,2000-2005,2</v>
      </c>
      <c r="E327" s="9">
        <v>0.52700000000000002</v>
      </c>
      <c r="F327" s="9">
        <v>19.3</v>
      </c>
      <c r="G327" s="9">
        <v>0.50800000000000001</v>
      </c>
      <c r="H327" s="9">
        <v>2.2000000000000002</v>
      </c>
      <c r="I327" s="9">
        <v>3</v>
      </c>
      <c r="J327" s="9">
        <v>-1.3</v>
      </c>
      <c r="K327" s="9">
        <v>0</v>
      </c>
      <c r="L327" s="9">
        <v>5.51</v>
      </c>
      <c r="M327" s="9">
        <v>-6.76</v>
      </c>
      <c r="N327" s="9">
        <v>3.96</v>
      </c>
      <c r="O327" s="9">
        <v>0.36080000000000001</v>
      </c>
      <c r="P327" s="9">
        <v>-3.4</v>
      </c>
      <c r="Q327" s="9">
        <v>0.28399999999999997</v>
      </c>
      <c r="R327" s="9">
        <v>2.8997799999999998</v>
      </c>
      <c r="S327" s="9">
        <v>-11.3</v>
      </c>
      <c r="T327" s="9">
        <v>1.43</v>
      </c>
      <c r="U327" s="9">
        <v>4.4000000000000003E-3</v>
      </c>
      <c r="V327" s="9">
        <v>4.5999999999999996</v>
      </c>
      <c r="W327" s="9">
        <v>5.8000000000000003E-2</v>
      </c>
    </row>
    <row r="328" spans="1:23" x14ac:dyDescent="0.3">
      <c r="A328" s="4">
        <v>941</v>
      </c>
      <c r="B328" s="5" t="s">
        <v>128</v>
      </c>
      <c r="C328" s="5">
        <v>2</v>
      </c>
      <c r="D328" s="5" t="str">
        <f t="shared" si="5"/>
        <v>941,2005-2010,2</v>
      </c>
      <c r="E328" s="6">
        <v>0.498</v>
      </c>
      <c r="F328" s="6">
        <v>20.7</v>
      </c>
      <c r="G328" s="6">
        <v>0.503</v>
      </c>
      <c r="H328" s="6">
        <v>2.2000000000000002</v>
      </c>
      <c r="I328" s="6">
        <v>3.1</v>
      </c>
      <c r="J328" s="6">
        <v>-3.3</v>
      </c>
      <c r="K328" s="6">
        <v>0</v>
      </c>
      <c r="L328" s="6">
        <v>5.03</v>
      </c>
      <c r="M328" s="6">
        <v>-3.78</v>
      </c>
      <c r="N328" s="6">
        <v>3.96</v>
      </c>
      <c r="O328" s="6">
        <v>0.36780000000000002</v>
      </c>
      <c r="P328" s="6">
        <v>-3.5</v>
      </c>
      <c r="Q328" s="6">
        <v>0.3</v>
      </c>
      <c r="R328" s="6">
        <v>3.24024</v>
      </c>
      <c r="S328" s="6">
        <v>-19.100000000000001</v>
      </c>
      <c r="T328" s="6">
        <v>1.38</v>
      </c>
      <c r="U328" s="6">
        <v>4.4000000000000003E-3</v>
      </c>
      <c r="V328" s="6">
        <v>4.5999999999999996</v>
      </c>
      <c r="W328" s="6">
        <v>5.8000000000000003E-2</v>
      </c>
    </row>
    <row r="329" spans="1:23" x14ac:dyDescent="0.3">
      <c r="A329" s="7">
        <v>941</v>
      </c>
      <c r="B329" s="8" t="s">
        <v>129</v>
      </c>
      <c r="C329" s="8">
        <v>2</v>
      </c>
      <c r="D329" s="8" t="str">
        <f t="shared" si="5"/>
        <v>941,2010-2015,2</v>
      </c>
      <c r="E329" s="9">
        <v>0.497</v>
      </c>
      <c r="F329" s="9">
        <v>16.5</v>
      </c>
      <c r="G329" s="9">
        <v>0.48699999999999999</v>
      </c>
      <c r="H329" s="9">
        <v>2.2000000000000002</v>
      </c>
      <c r="I329" s="9">
        <v>2.9</v>
      </c>
      <c r="J329" s="9">
        <v>4.5999999999999996</v>
      </c>
      <c r="K329" s="9">
        <v>0</v>
      </c>
      <c r="L329" s="9">
        <v>5.54</v>
      </c>
      <c r="M329" s="9">
        <v>-7.09</v>
      </c>
      <c r="N329" s="9">
        <v>3.95</v>
      </c>
      <c r="O329" s="9">
        <v>0.36030000000000001</v>
      </c>
      <c r="P329" s="9">
        <v>-1.3</v>
      </c>
      <c r="Q329" s="9">
        <v>0.30099999999999999</v>
      </c>
      <c r="R329" s="9">
        <v>3.0171800000000002</v>
      </c>
      <c r="S329" s="9">
        <v>-15.5</v>
      </c>
      <c r="T329" s="9">
        <v>1.36</v>
      </c>
      <c r="U329" s="9">
        <v>4.4000000000000003E-3</v>
      </c>
      <c r="V329" s="9">
        <v>4.5999999999999996</v>
      </c>
      <c r="W329" s="9">
        <v>5.8000000000000003E-2</v>
      </c>
    </row>
    <row r="330" spans="1:23" x14ac:dyDescent="0.3">
      <c r="A330" s="4">
        <v>941</v>
      </c>
      <c r="B330" s="5" t="s">
        <v>130</v>
      </c>
      <c r="C330" s="5">
        <v>2</v>
      </c>
      <c r="D330" s="5" t="str">
        <f t="shared" si="5"/>
        <v>941,2015-2020,2</v>
      </c>
      <c r="E330" s="6">
        <v>0.52300000000000002</v>
      </c>
      <c r="F330" s="6">
        <v>12.1</v>
      </c>
      <c r="G330" s="6">
        <v>0.49399999999999999</v>
      </c>
      <c r="H330" s="6">
        <v>2.2999999999999998</v>
      </c>
      <c r="I330" s="6">
        <v>2.2999999999999998</v>
      </c>
      <c r="J330" s="6">
        <v>32.9</v>
      </c>
      <c r="K330" s="6">
        <v>0</v>
      </c>
      <c r="L330" s="6">
        <v>5.71</v>
      </c>
      <c r="M330" s="6">
        <v>-7.66</v>
      </c>
      <c r="N330" s="6">
        <v>3.96</v>
      </c>
      <c r="O330" s="6">
        <v>0.3695</v>
      </c>
      <c r="P330" s="6">
        <v>-3.3</v>
      </c>
      <c r="Q330" s="6">
        <v>0.27500000000000002</v>
      </c>
      <c r="R330" s="6">
        <v>4.5198999999999998</v>
      </c>
      <c r="S330" s="6">
        <v>-39.6</v>
      </c>
      <c r="T330" s="6">
        <v>1.36</v>
      </c>
      <c r="U330" s="6">
        <v>4.4000000000000003E-3</v>
      </c>
      <c r="V330" s="6">
        <v>4.5999999999999996</v>
      </c>
      <c r="W330" s="6">
        <v>5.8000000000000003E-2</v>
      </c>
    </row>
    <row r="331" spans="1:23" x14ac:dyDescent="0.3">
      <c r="A331" s="7">
        <v>941</v>
      </c>
      <c r="B331" s="8" t="s">
        <v>131</v>
      </c>
      <c r="C331" s="8">
        <v>2</v>
      </c>
      <c r="D331" s="8" t="str">
        <f t="shared" si="5"/>
        <v>941,2020-,2</v>
      </c>
      <c r="E331" s="9">
        <v>0.56499999999999995</v>
      </c>
      <c r="F331" s="9">
        <v>2.75</v>
      </c>
      <c r="G331" s="9">
        <v>0.496</v>
      </c>
      <c r="H331" s="9">
        <v>2.2000000000000002</v>
      </c>
      <c r="I331" s="9">
        <v>3.3</v>
      </c>
      <c r="J331" s="9">
        <v>-2.1</v>
      </c>
      <c r="K331" s="9">
        <v>0</v>
      </c>
      <c r="L331" s="9">
        <v>5.09</v>
      </c>
      <c r="M331" s="9">
        <v>-4.1399999999999997</v>
      </c>
      <c r="N331" s="9">
        <v>3.97</v>
      </c>
      <c r="O331" s="9">
        <v>0.37869999999999998</v>
      </c>
      <c r="P331" s="9">
        <v>-7.6</v>
      </c>
      <c r="Q331" s="9">
        <v>0.16300000000000001</v>
      </c>
      <c r="R331" s="9">
        <v>2.7002000000000002</v>
      </c>
      <c r="S331" s="9">
        <v>12.1</v>
      </c>
      <c r="T331" s="9">
        <v>1.63</v>
      </c>
      <c r="U331" s="9">
        <v>4.4000000000000003E-3</v>
      </c>
      <c r="V331" s="9">
        <v>4.5999999999999996</v>
      </c>
      <c r="W331" s="9">
        <v>5.8000000000000003E-2</v>
      </c>
    </row>
    <row r="332" spans="1:23" x14ac:dyDescent="0.3">
      <c r="A332" s="4">
        <v>941</v>
      </c>
      <c r="B332" s="5">
        <v>-1920</v>
      </c>
      <c r="C332" s="5">
        <v>3</v>
      </c>
      <c r="D332" s="5" t="str">
        <f t="shared" si="5"/>
        <v>941,-1920,3</v>
      </c>
      <c r="E332" s="6">
        <v>0.25600000000000001</v>
      </c>
      <c r="F332" s="6">
        <v>53.6</v>
      </c>
      <c r="G332" s="6">
        <v>0.30399999999999999</v>
      </c>
      <c r="H332" s="6">
        <v>2</v>
      </c>
      <c r="I332" s="6">
        <v>3</v>
      </c>
      <c r="J332" s="6">
        <v>-5.0999999999999996</v>
      </c>
      <c r="K332" s="6">
        <v>0</v>
      </c>
      <c r="L332" s="6">
        <v>4.97</v>
      </c>
      <c r="M332" s="6">
        <v>-3.42</v>
      </c>
      <c r="N332" s="6">
        <v>3.92</v>
      </c>
      <c r="O332" s="6">
        <v>0.5373</v>
      </c>
      <c r="P332" s="6">
        <v>-4.5</v>
      </c>
      <c r="Q332" s="6">
        <v>0.36699999999999999</v>
      </c>
      <c r="R332" s="6">
        <v>2.75</v>
      </c>
      <c r="S332" s="6">
        <v>-23.9</v>
      </c>
      <c r="T332" s="6">
        <v>1.27</v>
      </c>
      <c r="U332" s="6">
        <v>4.4000000000000003E-3</v>
      </c>
      <c r="V332" s="6">
        <v>4.5999999999999996</v>
      </c>
      <c r="W332" s="6">
        <v>5.8000000000000003E-2</v>
      </c>
    </row>
    <row r="333" spans="1:23" x14ac:dyDescent="0.3">
      <c r="A333" s="7">
        <v>941</v>
      </c>
      <c r="B333" s="8" t="s">
        <v>111</v>
      </c>
      <c r="C333" s="8">
        <v>3</v>
      </c>
      <c r="D333" s="8" t="str">
        <f t="shared" si="5"/>
        <v>941,1920-1925,3</v>
      </c>
      <c r="E333" s="9">
        <v>0.25600000000000001</v>
      </c>
      <c r="F333" s="9">
        <v>53.6</v>
      </c>
      <c r="G333" s="9">
        <v>0.30399999999999999</v>
      </c>
      <c r="H333" s="9">
        <v>2</v>
      </c>
      <c r="I333" s="9">
        <v>3</v>
      </c>
      <c r="J333" s="9">
        <v>-4.9000000000000004</v>
      </c>
      <c r="K333" s="9">
        <v>0</v>
      </c>
      <c r="L333" s="9">
        <v>6.14</v>
      </c>
      <c r="M333" s="9">
        <v>-10.4</v>
      </c>
      <c r="N333" s="9">
        <v>3.94</v>
      </c>
      <c r="O333" s="9">
        <v>0.54369999999999996</v>
      </c>
      <c r="P333" s="9">
        <v>-11.6</v>
      </c>
      <c r="Q333" s="9">
        <v>0.33300000000000002</v>
      </c>
      <c r="R333" s="9">
        <v>1.89</v>
      </c>
      <c r="S333" s="9">
        <v>4.29</v>
      </c>
      <c r="T333" s="9">
        <v>1.63</v>
      </c>
      <c r="U333" s="9">
        <v>4.4000000000000003E-3</v>
      </c>
      <c r="V333" s="9">
        <v>4.5999999999999996</v>
      </c>
      <c r="W333" s="9">
        <v>5.8000000000000003E-2</v>
      </c>
    </row>
    <row r="334" spans="1:23" x14ac:dyDescent="0.3">
      <c r="A334" s="4">
        <v>941</v>
      </c>
      <c r="B334" s="5" t="s">
        <v>112</v>
      </c>
      <c r="C334" s="5">
        <v>3</v>
      </c>
      <c r="D334" s="5" t="str">
        <f t="shared" si="5"/>
        <v>941,1925-1930,3</v>
      </c>
      <c r="E334" s="6">
        <v>0.25600000000000001</v>
      </c>
      <c r="F334" s="6">
        <v>53.6</v>
      </c>
      <c r="G334" s="6">
        <v>0.30399999999999999</v>
      </c>
      <c r="H334" s="6">
        <v>2</v>
      </c>
      <c r="I334" s="6">
        <v>2.9</v>
      </c>
      <c r="J334" s="6">
        <v>-0.4</v>
      </c>
      <c r="K334" s="6">
        <v>0</v>
      </c>
      <c r="L334" s="6">
        <v>5.29</v>
      </c>
      <c r="M334" s="6">
        <v>-5.37</v>
      </c>
      <c r="N334" s="6">
        <v>3.97</v>
      </c>
      <c r="O334" s="6">
        <v>0.55530000000000002</v>
      </c>
      <c r="P334" s="6">
        <v>-18</v>
      </c>
      <c r="Q334" s="6">
        <v>0.28100000000000003</v>
      </c>
      <c r="R334" s="6">
        <v>2.54</v>
      </c>
      <c r="S334" s="6">
        <v>-13.3</v>
      </c>
      <c r="T334" s="6">
        <v>1.89</v>
      </c>
      <c r="U334" s="6">
        <v>4.4000000000000003E-3</v>
      </c>
      <c r="V334" s="6">
        <v>4.5999999999999996</v>
      </c>
      <c r="W334" s="6">
        <v>5.8000000000000003E-2</v>
      </c>
    </row>
    <row r="335" spans="1:23" x14ac:dyDescent="0.3">
      <c r="A335" s="7">
        <v>941</v>
      </c>
      <c r="B335" s="8" t="s">
        <v>113</v>
      </c>
      <c r="C335" s="8">
        <v>3</v>
      </c>
      <c r="D335" s="8" t="str">
        <f t="shared" si="5"/>
        <v>941,1930-1935,3</v>
      </c>
      <c r="E335" s="9">
        <v>0.25600000000000001</v>
      </c>
      <c r="F335" s="9">
        <v>53.6</v>
      </c>
      <c r="G335" s="9">
        <v>0.30399999999999999</v>
      </c>
      <c r="H335" s="9">
        <v>2</v>
      </c>
      <c r="I335" s="9">
        <v>3.3</v>
      </c>
      <c r="J335" s="9">
        <v>-10.8</v>
      </c>
      <c r="K335" s="9">
        <v>0</v>
      </c>
      <c r="L335" s="9">
        <v>4.8600000000000003</v>
      </c>
      <c r="M335" s="9">
        <v>-3.1</v>
      </c>
      <c r="N335" s="9">
        <v>3.96</v>
      </c>
      <c r="O335" s="9">
        <v>0.42230000000000001</v>
      </c>
      <c r="P335" s="9">
        <v>7.6</v>
      </c>
      <c r="Q335" s="9">
        <v>0.35099999999999998</v>
      </c>
      <c r="R335" s="9">
        <v>2.62</v>
      </c>
      <c r="S335" s="9">
        <v>-14.4</v>
      </c>
      <c r="T335" s="9">
        <v>1.94</v>
      </c>
      <c r="U335" s="9">
        <v>4.4000000000000003E-3</v>
      </c>
      <c r="V335" s="9">
        <v>4.5999999999999996</v>
      </c>
      <c r="W335" s="9">
        <v>5.8000000000000003E-2</v>
      </c>
    </row>
    <row r="336" spans="1:23" x14ac:dyDescent="0.3">
      <c r="A336" s="4">
        <v>941</v>
      </c>
      <c r="B336" s="5" t="s">
        <v>114</v>
      </c>
      <c r="C336" s="5">
        <v>3</v>
      </c>
      <c r="D336" s="5" t="str">
        <f t="shared" si="5"/>
        <v>941,1935-1940,3</v>
      </c>
      <c r="E336" s="6">
        <v>0.25600000000000001</v>
      </c>
      <c r="F336" s="6">
        <v>53.6</v>
      </c>
      <c r="G336" s="6">
        <v>0.30399999999999999</v>
      </c>
      <c r="H336" s="6">
        <v>2</v>
      </c>
      <c r="I336" s="6">
        <v>3</v>
      </c>
      <c r="J336" s="6">
        <v>-4.4000000000000004</v>
      </c>
      <c r="K336" s="6">
        <v>0</v>
      </c>
      <c r="L336" s="6">
        <v>4.62</v>
      </c>
      <c r="M336" s="6">
        <v>-0.91900000000000004</v>
      </c>
      <c r="N336" s="6">
        <v>3.96</v>
      </c>
      <c r="O336" s="6">
        <v>0.57650000000000001</v>
      </c>
      <c r="P336" s="6">
        <v>-16.3</v>
      </c>
      <c r="Q336" s="6">
        <v>0.371</v>
      </c>
      <c r="R336" s="6">
        <v>2.72</v>
      </c>
      <c r="S336" s="6">
        <v>-19.100000000000001</v>
      </c>
      <c r="T336" s="6">
        <v>1.82</v>
      </c>
      <c r="U336" s="6">
        <v>4.4000000000000003E-3</v>
      </c>
      <c r="V336" s="6">
        <v>4.5999999999999996</v>
      </c>
      <c r="W336" s="6">
        <v>5.8000000000000003E-2</v>
      </c>
    </row>
    <row r="337" spans="1:23" x14ac:dyDescent="0.3">
      <c r="A337" s="7">
        <v>941</v>
      </c>
      <c r="B337" s="8" t="s">
        <v>115</v>
      </c>
      <c r="C337" s="8">
        <v>3</v>
      </c>
      <c r="D337" s="8" t="str">
        <f t="shared" si="5"/>
        <v>941,1940-1945,3</v>
      </c>
      <c r="E337" s="9">
        <v>0.25600000000000001</v>
      </c>
      <c r="F337" s="9">
        <v>53.6</v>
      </c>
      <c r="G337" s="9">
        <v>0.30399999999999999</v>
      </c>
      <c r="H337" s="9">
        <v>2</v>
      </c>
      <c r="I337" s="9">
        <v>3.1</v>
      </c>
      <c r="J337" s="9">
        <v>-7.8</v>
      </c>
      <c r="K337" s="9">
        <v>0</v>
      </c>
      <c r="L337" s="9">
        <v>5.24</v>
      </c>
      <c r="M337" s="9">
        <v>-5.3</v>
      </c>
      <c r="N337" s="9">
        <v>4</v>
      </c>
      <c r="O337" s="9">
        <v>0.62029999999999996</v>
      </c>
      <c r="P337" s="9">
        <v>-26.9</v>
      </c>
      <c r="Q337" s="9">
        <v>0.33900000000000002</v>
      </c>
      <c r="R337" s="9">
        <v>2.17</v>
      </c>
      <c r="S337" s="9">
        <v>-2.96</v>
      </c>
      <c r="T337" s="9">
        <v>1.84</v>
      </c>
      <c r="U337" s="9">
        <v>4.4000000000000003E-3</v>
      </c>
      <c r="V337" s="9">
        <v>4.5999999999999996</v>
      </c>
      <c r="W337" s="9">
        <v>5.8000000000000003E-2</v>
      </c>
    </row>
    <row r="338" spans="1:23" x14ac:dyDescent="0.3">
      <c r="A338" s="4">
        <v>941</v>
      </c>
      <c r="B338" s="5" t="s">
        <v>116</v>
      </c>
      <c r="C338" s="5">
        <v>3</v>
      </c>
      <c r="D338" s="5" t="str">
        <f t="shared" si="5"/>
        <v>941,1945-1950,3</v>
      </c>
      <c r="E338" s="6">
        <v>0.25600000000000001</v>
      </c>
      <c r="F338" s="6">
        <v>53.6</v>
      </c>
      <c r="G338" s="6">
        <v>0.30399999999999999</v>
      </c>
      <c r="H338" s="6">
        <v>2</v>
      </c>
      <c r="I338" s="6">
        <v>3</v>
      </c>
      <c r="J338" s="6">
        <v>-3.6</v>
      </c>
      <c r="K338" s="6">
        <v>0</v>
      </c>
      <c r="L338" s="6">
        <v>4.68</v>
      </c>
      <c r="M338" s="6">
        <v>-2.04</v>
      </c>
      <c r="N338" s="6">
        <v>4</v>
      </c>
      <c r="O338" s="6">
        <v>0.50119999999999998</v>
      </c>
      <c r="P338" s="6">
        <v>-5.4</v>
      </c>
      <c r="Q338" s="6">
        <v>0.371</v>
      </c>
      <c r="R338" s="6">
        <v>4.08</v>
      </c>
      <c r="S338" s="6">
        <v>-50.8</v>
      </c>
      <c r="T338" s="6">
        <v>1.65</v>
      </c>
      <c r="U338" s="6">
        <v>4.4000000000000003E-3</v>
      </c>
      <c r="V338" s="6">
        <v>4.5999999999999996</v>
      </c>
      <c r="W338" s="6">
        <v>5.8000000000000003E-2</v>
      </c>
    </row>
    <row r="339" spans="1:23" x14ac:dyDescent="0.3">
      <c r="A339" s="7">
        <v>941</v>
      </c>
      <c r="B339" s="8" t="s">
        <v>117</v>
      </c>
      <c r="C339" s="8">
        <v>3</v>
      </c>
      <c r="D339" s="8" t="str">
        <f t="shared" si="5"/>
        <v>941,1950-1955,3</v>
      </c>
      <c r="E339" s="9">
        <v>0.25600000000000001</v>
      </c>
      <c r="F339" s="9">
        <v>53.6</v>
      </c>
      <c r="G339" s="9">
        <v>0.30399999999999999</v>
      </c>
      <c r="H339" s="9">
        <v>2</v>
      </c>
      <c r="I339" s="9">
        <v>3.1</v>
      </c>
      <c r="J339" s="9">
        <v>-5.7</v>
      </c>
      <c r="K339" s="9">
        <v>0</v>
      </c>
      <c r="L339" s="9">
        <v>5.46</v>
      </c>
      <c r="M339" s="9">
        <v>-6.2</v>
      </c>
      <c r="N339" s="9">
        <v>4</v>
      </c>
      <c r="O339" s="9">
        <v>0.66479999999999995</v>
      </c>
      <c r="P339" s="9">
        <v>-34.799999999999997</v>
      </c>
      <c r="Q339" s="9">
        <v>0.371</v>
      </c>
      <c r="R339" s="9">
        <v>2.86</v>
      </c>
      <c r="S339" s="9">
        <v>-20.9</v>
      </c>
      <c r="T339" s="9">
        <v>1.59</v>
      </c>
      <c r="U339" s="9">
        <v>4.4000000000000003E-3</v>
      </c>
      <c r="V339" s="9">
        <v>4.5999999999999996</v>
      </c>
      <c r="W339" s="9">
        <v>5.8000000000000003E-2</v>
      </c>
    </row>
    <row r="340" spans="1:23" x14ac:dyDescent="0.3">
      <c r="A340" s="4">
        <v>941</v>
      </c>
      <c r="B340" s="5" t="s">
        <v>118</v>
      </c>
      <c r="C340" s="5">
        <v>3</v>
      </c>
      <c r="D340" s="5" t="str">
        <f t="shared" si="5"/>
        <v>941,1955-1960,3</v>
      </c>
      <c r="E340" s="6">
        <v>0.25600000000000001</v>
      </c>
      <c r="F340" s="6">
        <v>53.6</v>
      </c>
      <c r="G340" s="6">
        <v>0.30399999999999999</v>
      </c>
      <c r="H340" s="6">
        <v>2</v>
      </c>
      <c r="I340" s="6">
        <v>3.1</v>
      </c>
      <c r="J340" s="6">
        <v>-7.2</v>
      </c>
      <c r="K340" s="6">
        <v>0</v>
      </c>
      <c r="L340" s="6">
        <v>5.61</v>
      </c>
      <c r="M340" s="6">
        <v>-7.95</v>
      </c>
      <c r="N340" s="6">
        <v>4</v>
      </c>
      <c r="O340" s="6">
        <v>0.54020000000000001</v>
      </c>
      <c r="P340" s="6">
        <v>-12.1</v>
      </c>
      <c r="Q340" s="6">
        <v>0.36399999999999999</v>
      </c>
      <c r="R340" s="6">
        <v>2.72</v>
      </c>
      <c r="S340" s="6">
        <v>-15.6</v>
      </c>
      <c r="T340" s="6">
        <v>1.59</v>
      </c>
      <c r="U340" s="6">
        <v>4.4000000000000003E-3</v>
      </c>
      <c r="V340" s="6">
        <v>4.5999999999999996</v>
      </c>
      <c r="W340" s="6">
        <v>5.8000000000000003E-2</v>
      </c>
    </row>
    <row r="341" spans="1:23" x14ac:dyDescent="0.3">
      <c r="A341" s="7">
        <v>941</v>
      </c>
      <c r="B341" s="8" t="s">
        <v>119</v>
      </c>
      <c r="C341" s="8">
        <v>3</v>
      </c>
      <c r="D341" s="8" t="str">
        <f t="shared" si="5"/>
        <v>941,1960-1965,3</v>
      </c>
      <c r="E341" s="9">
        <v>0.25600000000000001</v>
      </c>
      <c r="F341" s="9">
        <v>53.6</v>
      </c>
      <c r="G341" s="9">
        <v>0.30399999999999999</v>
      </c>
      <c r="H341" s="9">
        <v>2</v>
      </c>
      <c r="I341" s="9">
        <v>2.9</v>
      </c>
      <c r="J341" s="9">
        <v>-3.1</v>
      </c>
      <c r="K341" s="9">
        <v>0</v>
      </c>
      <c r="L341" s="9">
        <v>4.62</v>
      </c>
      <c r="M341" s="9">
        <v>-2.29</v>
      </c>
      <c r="N341" s="9">
        <v>4</v>
      </c>
      <c r="O341" s="9">
        <v>0.54330000000000001</v>
      </c>
      <c r="P341" s="9">
        <v>-17.3</v>
      </c>
      <c r="Q341" s="9">
        <v>0.28199999999999997</v>
      </c>
      <c r="R341" s="9">
        <v>2.61</v>
      </c>
      <c r="S341" s="9">
        <v>-13.4</v>
      </c>
      <c r="T341" s="9">
        <v>1.63</v>
      </c>
      <c r="U341" s="9">
        <v>4.4000000000000003E-3</v>
      </c>
      <c r="V341" s="9">
        <v>4.5999999999999996</v>
      </c>
      <c r="W341" s="9">
        <v>5.8000000000000003E-2</v>
      </c>
    </row>
    <row r="342" spans="1:23" x14ac:dyDescent="0.3">
      <c r="A342" s="4">
        <v>941</v>
      </c>
      <c r="B342" s="5" t="s">
        <v>120</v>
      </c>
      <c r="C342" s="5">
        <v>3</v>
      </c>
      <c r="D342" s="5" t="str">
        <f t="shared" si="5"/>
        <v>941,1965-1970,3</v>
      </c>
      <c r="E342" s="6">
        <v>0.25600000000000001</v>
      </c>
      <c r="F342" s="6">
        <v>53.6</v>
      </c>
      <c r="G342" s="6">
        <v>0.30399999999999999</v>
      </c>
      <c r="H342" s="6">
        <v>2</v>
      </c>
      <c r="I342" s="6">
        <v>3</v>
      </c>
      <c r="J342" s="6">
        <v>-5.4</v>
      </c>
      <c r="K342" s="6">
        <v>0</v>
      </c>
      <c r="L342" s="6">
        <v>4.3099999999999996</v>
      </c>
      <c r="M342" s="6">
        <v>-0.28299999999999997</v>
      </c>
      <c r="N342" s="6">
        <v>3.95</v>
      </c>
      <c r="O342" s="6">
        <v>0.53280000000000005</v>
      </c>
      <c r="P342" s="6">
        <v>-13.1</v>
      </c>
      <c r="Q342" s="6">
        <v>0.36699999999999999</v>
      </c>
      <c r="R342" s="6">
        <v>2.34</v>
      </c>
      <c r="S342" s="6">
        <v>-8.9</v>
      </c>
      <c r="T342" s="6">
        <v>1.71</v>
      </c>
      <c r="U342" s="6">
        <v>4.4000000000000003E-3</v>
      </c>
      <c r="V342" s="6">
        <v>4.5999999999999996</v>
      </c>
      <c r="W342" s="6">
        <v>5.8000000000000003E-2</v>
      </c>
    </row>
    <row r="343" spans="1:23" x14ac:dyDescent="0.3">
      <c r="A343" s="7">
        <v>941</v>
      </c>
      <c r="B343" s="8" t="s">
        <v>121</v>
      </c>
      <c r="C343" s="8">
        <v>3</v>
      </c>
      <c r="D343" s="8" t="str">
        <f t="shared" si="5"/>
        <v>941,1970-1975,3</v>
      </c>
      <c r="E343" s="9">
        <v>0.25600000000000001</v>
      </c>
      <c r="F343" s="9">
        <v>53.6</v>
      </c>
      <c r="G343" s="9">
        <v>0.30399999999999999</v>
      </c>
      <c r="H343" s="9">
        <v>2</v>
      </c>
      <c r="I343" s="9">
        <v>2.8</v>
      </c>
      <c r="J343" s="9">
        <v>1</v>
      </c>
      <c r="K343" s="9">
        <v>0</v>
      </c>
      <c r="L343" s="9">
        <v>5.31</v>
      </c>
      <c r="M343" s="9">
        <v>-7</v>
      </c>
      <c r="N343" s="9">
        <v>3.96</v>
      </c>
      <c r="O343" s="9">
        <v>0.63639999999999997</v>
      </c>
      <c r="P343" s="9">
        <v>-37.200000000000003</v>
      </c>
      <c r="Q343" s="9">
        <v>0.36699999999999999</v>
      </c>
      <c r="R343" s="9">
        <v>2.87</v>
      </c>
      <c r="S343" s="9">
        <v>-31.1</v>
      </c>
      <c r="T343" s="9">
        <v>1.6</v>
      </c>
      <c r="U343" s="9">
        <v>4.4000000000000003E-3</v>
      </c>
      <c r="V343" s="9">
        <v>4.5999999999999996</v>
      </c>
      <c r="W343" s="9">
        <v>5.8000000000000003E-2</v>
      </c>
    </row>
    <row r="344" spans="1:23" x14ac:dyDescent="0.3">
      <c r="A344" s="4">
        <v>941</v>
      </c>
      <c r="B344" s="5" t="s">
        <v>122</v>
      </c>
      <c r="C344" s="5">
        <v>3</v>
      </c>
      <c r="D344" s="5" t="str">
        <f t="shared" si="5"/>
        <v>941,1975-1980,3</v>
      </c>
      <c r="E344" s="6">
        <v>0.25600000000000001</v>
      </c>
      <c r="F344" s="6">
        <v>53.6</v>
      </c>
      <c r="G344" s="6">
        <v>0.30399999999999999</v>
      </c>
      <c r="H344" s="6">
        <v>2</v>
      </c>
      <c r="I344" s="6">
        <v>2.8</v>
      </c>
      <c r="J344" s="6">
        <v>4.3</v>
      </c>
      <c r="K344" s="6">
        <v>0</v>
      </c>
      <c r="L344" s="6">
        <v>4.55</v>
      </c>
      <c r="M344" s="6">
        <v>-1.89</v>
      </c>
      <c r="N344" s="6">
        <v>3.98</v>
      </c>
      <c r="O344" s="6">
        <v>0.49009999999999998</v>
      </c>
      <c r="P344" s="6">
        <v>-4</v>
      </c>
      <c r="Q344" s="6">
        <v>0.42</v>
      </c>
      <c r="R344" s="6">
        <v>2.48</v>
      </c>
      <c r="S344" s="6">
        <v>-11.9</v>
      </c>
      <c r="T344" s="6">
        <v>1.59</v>
      </c>
      <c r="U344" s="6">
        <v>4.4000000000000003E-3</v>
      </c>
      <c r="V344" s="6">
        <v>4.5999999999999996</v>
      </c>
      <c r="W344" s="6">
        <v>5.8000000000000003E-2</v>
      </c>
    </row>
    <row r="345" spans="1:23" x14ac:dyDescent="0.3">
      <c r="A345" s="7">
        <v>941</v>
      </c>
      <c r="B345" s="8" t="s">
        <v>123</v>
      </c>
      <c r="C345" s="8">
        <v>3</v>
      </c>
      <c r="D345" s="8" t="str">
        <f t="shared" si="5"/>
        <v>941,1980-1985,3</v>
      </c>
      <c r="E345" s="9">
        <v>0.25600000000000001</v>
      </c>
      <c r="F345" s="9">
        <v>53.6</v>
      </c>
      <c r="G345" s="9">
        <v>0.30399999999999999</v>
      </c>
      <c r="H345" s="9">
        <v>2</v>
      </c>
      <c r="I345" s="9">
        <v>2.6</v>
      </c>
      <c r="J345" s="9">
        <v>7.8</v>
      </c>
      <c r="K345" s="9">
        <v>0</v>
      </c>
      <c r="L345" s="9">
        <v>5.12</v>
      </c>
      <c r="M345" s="9">
        <v>-5.39</v>
      </c>
      <c r="N345" s="9">
        <v>3.96</v>
      </c>
      <c r="O345" s="9">
        <v>0.81279999999999997</v>
      </c>
      <c r="P345" s="9">
        <v>-68.3</v>
      </c>
      <c r="Q345" s="9">
        <v>0.436</v>
      </c>
      <c r="R345" s="9">
        <v>2.69</v>
      </c>
      <c r="S345" s="9">
        <v>-18.399999999999999</v>
      </c>
      <c r="T345" s="9">
        <v>1.55</v>
      </c>
      <c r="U345" s="9">
        <v>4.4000000000000003E-3</v>
      </c>
      <c r="V345" s="9">
        <v>4.5999999999999996</v>
      </c>
      <c r="W345" s="9">
        <v>5.8000000000000003E-2</v>
      </c>
    </row>
    <row r="346" spans="1:23" x14ac:dyDescent="0.3">
      <c r="A346" s="4">
        <v>941</v>
      </c>
      <c r="B346" s="5" t="s">
        <v>124</v>
      </c>
      <c r="C346" s="5">
        <v>3</v>
      </c>
      <c r="D346" s="5" t="str">
        <f t="shared" si="5"/>
        <v>941,1985-1990,3</v>
      </c>
      <c r="E346" s="6">
        <v>0.25600000000000001</v>
      </c>
      <c r="F346" s="6">
        <v>53.6</v>
      </c>
      <c r="G346" s="6">
        <v>0.30399999999999999</v>
      </c>
      <c r="H346" s="6">
        <v>2.1</v>
      </c>
      <c r="I346" s="6">
        <v>2.8</v>
      </c>
      <c r="J346" s="6">
        <v>0.1</v>
      </c>
      <c r="K346" s="6">
        <v>0</v>
      </c>
      <c r="L346" s="6">
        <v>6.5</v>
      </c>
      <c r="M346" s="6">
        <v>-12.9</v>
      </c>
      <c r="N346" s="6">
        <v>3.96</v>
      </c>
      <c r="O346" s="6">
        <v>0.31790000000000002</v>
      </c>
      <c r="P346" s="6">
        <v>50</v>
      </c>
      <c r="Q346" s="6">
        <v>0.432</v>
      </c>
      <c r="R346" s="6">
        <v>2.9</v>
      </c>
      <c r="S346" s="6">
        <v>-24.5</v>
      </c>
      <c r="T346" s="6">
        <v>1.5</v>
      </c>
      <c r="U346" s="6">
        <v>4.4000000000000003E-3</v>
      </c>
      <c r="V346" s="6">
        <v>4.5999999999999996</v>
      </c>
      <c r="W346" s="6">
        <v>5.8000000000000003E-2</v>
      </c>
    </row>
    <row r="347" spans="1:23" x14ac:dyDescent="0.3">
      <c r="A347" s="7">
        <v>941</v>
      </c>
      <c r="B347" s="8" t="s">
        <v>125</v>
      </c>
      <c r="C347" s="8">
        <v>3</v>
      </c>
      <c r="D347" s="8" t="str">
        <f t="shared" si="5"/>
        <v>941,1990-1995,3</v>
      </c>
      <c r="E347" s="9">
        <v>0.25600000000000001</v>
      </c>
      <c r="F347" s="9">
        <v>53.6</v>
      </c>
      <c r="G347" s="9">
        <v>0.30399999999999999</v>
      </c>
      <c r="H347" s="9">
        <v>2.1</v>
      </c>
      <c r="I347" s="9">
        <v>2</v>
      </c>
      <c r="J347" s="9">
        <v>28</v>
      </c>
      <c r="K347" s="9">
        <v>0</v>
      </c>
      <c r="L347" s="9">
        <v>5.01</v>
      </c>
      <c r="M347" s="9">
        <v>-3.95</v>
      </c>
      <c r="N347" s="9">
        <v>3.95</v>
      </c>
      <c r="O347" s="9">
        <v>0.52759999999999996</v>
      </c>
      <c r="P347" s="9">
        <v>7.2</v>
      </c>
      <c r="Q347" s="9">
        <v>0.46200000000000002</v>
      </c>
      <c r="R347" s="9">
        <v>2.69</v>
      </c>
      <c r="S347" s="9">
        <v>-19.3</v>
      </c>
      <c r="T347" s="9">
        <v>1.43</v>
      </c>
      <c r="U347" s="9">
        <v>4.4000000000000003E-3</v>
      </c>
      <c r="V347" s="9">
        <v>4.5999999999999996</v>
      </c>
      <c r="W347" s="9">
        <v>5.8000000000000003E-2</v>
      </c>
    </row>
    <row r="348" spans="1:23" x14ac:dyDescent="0.3">
      <c r="A348" s="4">
        <v>941</v>
      </c>
      <c r="B348" s="5" t="s">
        <v>126</v>
      </c>
      <c r="C348" s="5">
        <v>3</v>
      </c>
      <c r="D348" s="5" t="str">
        <f t="shared" si="5"/>
        <v>941,1995-2000,3</v>
      </c>
      <c r="E348" s="6">
        <v>0.25600000000000001</v>
      </c>
      <c r="F348" s="6">
        <v>53.6</v>
      </c>
      <c r="G348" s="6">
        <v>0.30399999999999999</v>
      </c>
      <c r="H348" s="6">
        <v>2.2000000000000002</v>
      </c>
      <c r="I348" s="6">
        <v>3</v>
      </c>
      <c r="J348" s="6">
        <v>-4.5</v>
      </c>
      <c r="K348" s="6">
        <v>0</v>
      </c>
      <c r="L348" s="6">
        <v>5.29</v>
      </c>
      <c r="M348" s="6">
        <v>-5.51</v>
      </c>
      <c r="N348" s="6">
        <v>3.95</v>
      </c>
      <c r="O348" s="6">
        <v>0.17899999999999999</v>
      </c>
      <c r="P348" s="6">
        <v>0</v>
      </c>
      <c r="Q348" s="6">
        <v>0.17899999999999999</v>
      </c>
      <c r="R348" s="6">
        <v>2.61</v>
      </c>
      <c r="S348" s="6">
        <v>-19.3</v>
      </c>
      <c r="T348" s="6">
        <v>1.43</v>
      </c>
      <c r="U348" s="6">
        <v>4.4000000000000003E-3</v>
      </c>
      <c r="V348" s="6">
        <v>4.5999999999999996</v>
      </c>
      <c r="W348" s="6">
        <v>5.8000000000000003E-2</v>
      </c>
    </row>
    <row r="349" spans="1:23" x14ac:dyDescent="0.3">
      <c r="A349" s="7">
        <v>941</v>
      </c>
      <c r="B349" s="8" t="s">
        <v>127</v>
      </c>
      <c r="C349" s="8">
        <v>3</v>
      </c>
      <c r="D349" s="8" t="str">
        <f t="shared" si="5"/>
        <v>941,2000-2005,3</v>
      </c>
      <c r="E349" s="9">
        <v>0.25600000000000001</v>
      </c>
      <c r="F349" s="9">
        <v>53.6</v>
      </c>
      <c r="G349" s="9">
        <v>0.30399999999999999</v>
      </c>
      <c r="H349" s="9">
        <v>2.2000000000000002</v>
      </c>
      <c r="I349" s="9">
        <v>3</v>
      </c>
      <c r="J349" s="9">
        <v>-1.3</v>
      </c>
      <c r="K349" s="9">
        <v>0</v>
      </c>
      <c r="L349" s="9">
        <v>5.51</v>
      </c>
      <c r="M349" s="9">
        <v>-6.76</v>
      </c>
      <c r="N349" s="9">
        <v>3.96</v>
      </c>
      <c r="O349" s="9">
        <v>0.43169999999999997</v>
      </c>
      <c r="P349" s="9">
        <v>6</v>
      </c>
      <c r="Q349" s="9">
        <v>0.17199999999999999</v>
      </c>
      <c r="R349" s="9">
        <v>2.4700000000000002</v>
      </c>
      <c r="S349" s="9">
        <v>-11.3</v>
      </c>
      <c r="T349" s="9">
        <v>1.43</v>
      </c>
      <c r="U349" s="9">
        <v>4.4000000000000003E-3</v>
      </c>
      <c r="V349" s="9">
        <v>4.5999999999999996</v>
      </c>
      <c r="W349" s="9">
        <v>5.8000000000000003E-2</v>
      </c>
    </row>
    <row r="350" spans="1:23" x14ac:dyDescent="0.3">
      <c r="A350" s="4">
        <v>941</v>
      </c>
      <c r="B350" s="5" t="s">
        <v>128</v>
      </c>
      <c r="C350" s="5">
        <v>3</v>
      </c>
      <c r="D350" s="5" t="str">
        <f t="shared" si="5"/>
        <v>941,2005-2010,3</v>
      </c>
      <c r="E350" s="6">
        <v>0.25600000000000001</v>
      </c>
      <c r="F350" s="6">
        <v>53.6</v>
      </c>
      <c r="G350" s="6">
        <v>0.30399999999999999</v>
      </c>
      <c r="H350" s="6">
        <v>2.2000000000000002</v>
      </c>
      <c r="I350" s="6">
        <v>3.1</v>
      </c>
      <c r="J350" s="6">
        <v>-3.3</v>
      </c>
      <c r="K350" s="6">
        <v>0</v>
      </c>
      <c r="L350" s="6">
        <v>5.03</v>
      </c>
      <c r="M350" s="6">
        <v>-3.78</v>
      </c>
      <c r="N350" s="6">
        <v>3.96</v>
      </c>
      <c r="O350" s="6">
        <v>0.43559999999999999</v>
      </c>
      <c r="P350" s="6">
        <v>7.4</v>
      </c>
      <c r="Q350" s="6">
        <v>0.26900000000000002</v>
      </c>
      <c r="R350" s="6">
        <v>2.76</v>
      </c>
      <c r="S350" s="6">
        <v>-19.100000000000001</v>
      </c>
      <c r="T350" s="6">
        <v>1.38</v>
      </c>
      <c r="U350" s="6">
        <v>4.4000000000000003E-3</v>
      </c>
      <c r="V350" s="6">
        <v>4.5999999999999996</v>
      </c>
      <c r="W350" s="6">
        <v>5.8000000000000003E-2</v>
      </c>
    </row>
    <row r="351" spans="1:23" x14ac:dyDescent="0.3">
      <c r="A351" s="7">
        <v>941</v>
      </c>
      <c r="B351" s="8" t="s">
        <v>129</v>
      </c>
      <c r="C351" s="8">
        <v>3</v>
      </c>
      <c r="D351" s="8" t="str">
        <f t="shared" si="5"/>
        <v>941,2010-2015,3</v>
      </c>
      <c r="E351" s="9">
        <v>0.25600000000000001</v>
      </c>
      <c r="F351" s="9">
        <v>53.6</v>
      </c>
      <c r="G351" s="9">
        <v>0.30399999999999999</v>
      </c>
      <c r="H351" s="9">
        <v>2.2000000000000002</v>
      </c>
      <c r="I351" s="9">
        <v>2.9</v>
      </c>
      <c r="J351" s="9">
        <v>4.5999999999999996</v>
      </c>
      <c r="K351" s="9">
        <v>0</v>
      </c>
      <c r="L351" s="9">
        <v>5.54</v>
      </c>
      <c r="M351" s="9">
        <v>-7.09</v>
      </c>
      <c r="N351" s="9">
        <v>3.95</v>
      </c>
      <c r="O351" s="9">
        <v>0.43680000000000002</v>
      </c>
      <c r="P351" s="9">
        <v>12.2</v>
      </c>
      <c r="Q351" s="9">
        <v>0.32200000000000001</v>
      </c>
      <c r="R351" s="9">
        <v>2.57</v>
      </c>
      <c r="S351" s="9">
        <v>-15.5</v>
      </c>
      <c r="T351" s="9">
        <v>1.36</v>
      </c>
      <c r="U351" s="9">
        <v>4.4000000000000003E-3</v>
      </c>
      <c r="V351" s="9">
        <v>4.5999999999999996</v>
      </c>
      <c r="W351" s="9">
        <v>5.8000000000000003E-2</v>
      </c>
    </row>
    <row r="352" spans="1:23" x14ac:dyDescent="0.3">
      <c r="A352" s="4">
        <v>941</v>
      </c>
      <c r="B352" s="5" t="s">
        <v>130</v>
      </c>
      <c r="C352" s="5">
        <v>3</v>
      </c>
      <c r="D352" s="5" t="str">
        <f t="shared" si="5"/>
        <v>941,2015-2020,3</v>
      </c>
      <c r="E352" s="6">
        <v>0.25600000000000001</v>
      </c>
      <c r="F352" s="6">
        <v>53.6</v>
      </c>
      <c r="G352" s="6">
        <v>0.30399999999999999</v>
      </c>
      <c r="H352" s="6">
        <v>2.2999999999999998</v>
      </c>
      <c r="I352" s="6">
        <v>2.2999999999999998</v>
      </c>
      <c r="J352" s="6">
        <v>32.9</v>
      </c>
      <c r="K352" s="6">
        <v>0</v>
      </c>
      <c r="L352" s="6">
        <v>5.71</v>
      </c>
      <c r="M352" s="6">
        <v>-7.66</v>
      </c>
      <c r="N352" s="6">
        <v>3.96</v>
      </c>
      <c r="O352" s="6">
        <v>0.40279999999999999</v>
      </c>
      <c r="P352" s="6">
        <v>19.899999999999999</v>
      </c>
      <c r="Q352" s="6">
        <v>0.314</v>
      </c>
      <c r="R352" s="6">
        <v>3.85</v>
      </c>
      <c r="S352" s="6">
        <v>-39.6</v>
      </c>
      <c r="T352" s="6">
        <v>1.36</v>
      </c>
      <c r="U352" s="6">
        <v>4.4000000000000003E-3</v>
      </c>
      <c r="V352" s="6">
        <v>4.5999999999999996</v>
      </c>
      <c r="W352" s="6">
        <v>5.8000000000000003E-2</v>
      </c>
    </row>
    <row r="353" spans="1:23" x14ac:dyDescent="0.3">
      <c r="A353" s="7">
        <v>941</v>
      </c>
      <c r="B353" s="8" t="s">
        <v>131</v>
      </c>
      <c r="C353" s="8">
        <v>3</v>
      </c>
      <c r="D353" s="8" t="str">
        <f t="shared" si="5"/>
        <v>941,2020-,3</v>
      </c>
      <c r="E353" s="9">
        <v>0.25600000000000001</v>
      </c>
      <c r="F353" s="9">
        <v>53.6</v>
      </c>
      <c r="G353" s="9">
        <v>0.30399999999999999</v>
      </c>
      <c r="H353" s="9">
        <v>2.2000000000000002</v>
      </c>
      <c r="I353" s="9">
        <v>3.3</v>
      </c>
      <c r="J353" s="9">
        <v>-2.1</v>
      </c>
      <c r="K353" s="9">
        <v>0</v>
      </c>
      <c r="L353" s="9">
        <v>5.09</v>
      </c>
      <c r="M353" s="9">
        <v>-4.1399999999999997</v>
      </c>
      <c r="N353" s="9">
        <v>3.97</v>
      </c>
      <c r="O353" s="9">
        <v>0.40279999999999999</v>
      </c>
      <c r="P353" s="9">
        <v>19.899999999999999</v>
      </c>
      <c r="Q353" s="9">
        <v>0.314</v>
      </c>
      <c r="R353" s="9">
        <v>2.2999999999999998</v>
      </c>
      <c r="S353" s="9">
        <v>12.1</v>
      </c>
      <c r="T353" s="9">
        <v>1.63</v>
      </c>
      <c r="U353" s="9">
        <v>4.4000000000000003E-3</v>
      </c>
      <c r="V353" s="9">
        <v>4.5999999999999996</v>
      </c>
      <c r="W353" s="9">
        <v>5.8000000000000003E-2</v>
      </c>
    </row>
  </sheetData>
  <phoneticPr fontId="8" type="noConversion"/>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AA05D-7D98-4BA1-AA0E-EC5AC4661173}">
  <dimension ref="A1:BX89"/>
  <sheetViews>
    <sheetView workbookViewId="0">
      <selection activeCell="BX9" sqref="BX9:CA10"/>
    </sheetView>
  </sheetViews>
  <sheetFormatPr defaultRowHeight="14.4" x14ac:dyDescent="0.3"/>
  <cols>
    <col min="1" max="1" width="4" bestFit="1" customWidth="1"/>
    <col min="2" max="2" width="10.33203125" bestFit="1" customWidth="1"/>
    <col min="3" max="3" width="10.33203125" customWidth="1"/>
    <col min="4" max="4" width="13.33203125" bestFit="1" customWidth="1"/>
    <col min="5" max="5" width="12.44140625" bestFit="1" customWidth="1"/>
    <col min="6" max="6" width="13.88671875" bestFit="1" customWidth="1"/>
    <col min="7" max="8" width="13.109375" bestFit="1" customWidth="1"/>
    <col min="9" max="9" width="12.6640625" bestFit="1" customWidth="1"/>
    <col min="10" max="10" width="9.88671875" bestFit="1" customWidth="1"/>
    <col min="11" max="11" width="8.6640625" bestFit="1" customWidth="1"/>
    <col min="12" max="12" width="6" bestFit="1" customWidth="1"/>
    <col min="13" max="13" width="12" bestFit="1" customWidth="1"/>
    <col min="14" max="14" width="14.44140625" bestFit="1" customWidth="1"/>
    <col min="15" max="15" width="14.5546875" bestFit="1" customWidth="1"/>
    <col min="16" max="16" width="15.109375" bestFit="1" customWidth="1"/>
    <col min="17" max="17" width="14.5546875" bestFit="1" customWidth="1"/>
    <col min="18" max="18" width="14.88671875" bestFit="1" customWidth="1"/>
    <col min="19" max="19" width="19" bestFit="1" customWidth="1"/>
    <col min="20" max="20" width="17.44140625" bestFit="1" customWidth="1"/>
    <col min="21" max="21" width="9.5546875" bestFit="1" customWidth="1"/>
    <col min="22" max="22" width="11.88671875" bestFit="1" customWidth="1"/>
    <col min="23" max="23" width="12" bestFit="1" customWidth="1"/>
    <col min="24" max="24" width="12.5546875" bestFit="1" customWidth="1"/>
    <col min="25" max="25" width="12" bestFit="1" customWidth="1"/>
    <col min="26" max="26" width="12.33203125" bestFit="1" customWidth="1"/>
    <col min="27" max="27" width="9" bestFit="1" customWidth="1"/>
    <col min="28" max="28" width="12.33203125" bestFit="1" customWidth="1"/>
    <col min="29" max="29" width="11" bestFit="1" customWidth="1"/>
    <col min="30" max="30" width="8.44140625" bestFit="1" customWidth="1"/>
    <col min="31" max="31" width="9.5546875" bestFit="1" customWidth="1"/>
    <col min="32" max="32" width="13.109375" bestFit="1" customWidth="1"/>
    <col min="33" max="33" width="13.6640625" bestFit="1" customWidth="1"/>
    <col min="34" max="34" width="10" bestFit="1" customWidth="1"/>
    <col min="35" max="35" width="13.44140625" bestFit="1" customWidth="1"/>
    <col min="36" max="36" width="15.88671875" bestFit="1" customWidth="1"/>
    <col min="37" max="37" width="8.109375" bestFit="1" customWidth="1"/>
    <col min="38" max="38" width="12" bestFit="1" customWidth="1"/>
    <col min="39" max="39" width="13.88671875" bestFit="1" customWidth="1"/>
    <col min="40" max="40" width="20.5546875" bestFit="1" customWidth="1"/>
    <col min="41" max="42" width="12.44140625" bestFit="1" customWidth="1"/>
    <col min="43" max="43" width="16.5546875" bestFit="1" customWidth="1"/>
    <col min="44" max="44" width="14.109375" bestFit="1" customWidth="1"/>
    <col min="45" max="45" width="10.88671875" bestFit="1" customWidth="1"/>
    <col min="46" max="46" width="12.44140625" bestFit="1" customWidth="1"/>
    <col min="47" max="47" width="17" bestFit="1" customWidth="1"/>
    <col min="48" max="48" width="17.88671875" bestFit="1" customWidth="1"/>
    <col min="49" max="49" width="19.5546875" bestFit="1" customWidth="1"/>
    <col min="50" max="50" width="19.6640625" bestFit="1" customWidth="1"/>
    <col min="51" max="51" width="20.5546875" bestFit="1" customWidth="1"/>
    <col min="52" max="52" width="19.5546875" bestFit="1" customWidth="1"/>
    <col min="53" max="53" width="20.109375" bestFit="1" customWidth="1"/>
    <col min="54" max="54" width="19.88671875" bestFit="1" customWidth="1"/>
    <col min="55" max="55" width="17.6640625" bestFit="1" customWidth="1"/>
    <col min="56" max="56" width="17.88671875" bestFit="1" customWidth="1"/>
    <col min="57" max="57" width="18.6640625" bestFit="1" customWidth="1"/>
    <col min="58" max="58" width="17.6640625" bestFit="1" customWidth="1"/>
    <col min="59" max="59" width="18.33203125" bestFit="1" customWidth="1"/>
    <col min="60" max="60" width="18" bestFit="1" customWidth="1"/>
    <col min="61" max="61" width="18.33203125" bestFit="1" customWidth="1"/>
    <col min="62" max="62" width="18.44140625" bestFit="1" customWidth="1"/>
    <col min="63" max="63" width="19.33203125" bestFit="1" customWidth="1"/>
    <col min="64" max="64" width="18.33203125" bestFit="1" customWidth="1"/>
    <col min="65" max="65" width="18.88671875" bestFit="1" customWidth="1"/>
    <col min="66" max="66" width="18.5546875" bestFit="1" customWidth="1"/>
    <col min="67" max="67" width="18.6640625" bestFit="1" customWidth="1"/>
    <col min="68" max="68" width="18.88671875" bestFit="1" customWidth="1"/>
    <col min="69" max="69" width="19.6640625" bestFit="1" customWidth="1"/>
    <col min="70" max="70" width="18.6640625" bestFit="1" customWidth="1"/>
    <col min="71" max="71" width="19.33203125" bestFit="1" customWidth="1"/>
    <col min="72" max="72" width="19" bestFit="1" customWidth="1"/>
    <col min="73" max="73" width="13.33203125" bestFit="1" customWidth="1"/>
    <col min="74" max="74" width="11.88671875" bestFit="1" customWidth="1"/>
    <col min="75" max="75" width="11.5546875" bestFit="1" customWidth="1"/>
    <col min="76" max="76" width="16.5546875" bestFit="1" customWidth="1"/>
  </cols>
  <sheetData>
    <row r="1" spans="1:76" x14ac:dyDescent="0.3">
      <c r="A1" s="2" t="s">
        <v>17</v>
      </c>
      <c r="B1" s="3" t="s">
        <v>98</v>
      </c>
      <c r="C1" s="3" t="s">
        <v>137</v>
      </c>
      <c r="D1" s="3" t="s">
        <v>177</v>
      </c>
      <c r="E1" s="3" t="s">
        <v>187</v>
      </c>
      <c r="F1" s="3" t="s">
        <v>188</v>
      </c>
      <c r="G1" s="3" t="s">
        <v>199</v>
      </c>
      <c r="H1" s="3" t="s">
        <v>200</v>
      </c>
      <c r="I1" s="3" t="s">
        <v>201</v>
      </c>
      <c r="J1" s="3" t="s">
        <v>202</v>
      </c>
      <c r="K1" s="3" t="s">
        <v>203</v>
      </c>
      <c r="L1" s="3" t="s">
        <v>204</v>
      </c>
      <c r="M1" s="3" t="s">
        <v>218</v>
      </c>
      <c r="N1" s="3" t="s">
        <v>219</v>
      </c>
      <c r="O1" s="3" t="s">
        <v>220</v>
      </c>
      <c r="P1" s="3" t="s">
        <v>221</v>
      </c>
      <c r="Q1" s="3" t="s">
        <v>222</v>
      </c>
      <c r="R1" s="3" t="s">
        <v>223</v>
      </c>
      <c r="S1" s="3" t="s">
        <v>224</v>
      </c>
      <c r="T1" s="3" t="s">
        <v>225</v>
      </c>
      <c r="U1" s="3" t="s">
        <v>226</v>
      </c>
      <c r="V1" s="3" t="s">
        <v>227</v>
      </c>
      <c r="W1" s="3" t="s">
        <v>228</v>
      </c>
      <c r="X1" s="3" t="s">
        <v>229</v>
      </c>
      <c r="Y1" s="3" t="s">
        <v>230</v>
      </c>
      <c r="Z1" s="3" t="s">
        <v>231</v>
      </c>
      <c r="AA1" s="3" t="s">
        <v>232</v>
      </c>
      <c r="AB1" s="3" t="s">
        <v>233</v>
      </c>
      <c r="AC1" s="3" t="s">
        <v>234</v>
      </c>
      <c r="AD1" s="3" t="s">
        <v>235</v>
      </c>
      <c r="AE1" s="3" t="s">
        <v>236</v>
      </c>
      <c r="AF1" s="3" t="s">
        <v>237</v>
      </c>
      <c r="AG1" s="3" t="s">
        <v>238</v>
      </c>
      <c r="AH1" s="3" t="s">
        <v>239</v>
      </c>
      <c r="AI1" s="3" t="s">
        <v>240</v>
      </c>
      <c r="AJ1" s="3" t="s">
        <v>241</v>
      </c>
      <c r="AK1" s="3" t="s">
        <v>242</v>
      </c>
      <c r="AL1" s="3" t="s">
        <v>243</v>
      </c>
      <c r="AM1" s="3" t="s">
        <v>244</v>
      </c>
      <c r="AN1" s="3" t="s">
        <v>245</v>
      </c>
      <c r="AO1" s="3" t="s">
        <v>246</v>
      </c>
      <c r="AP1" s="3" t="s">
        <v>247</v>
      </c>
      <c r="AQ1" s="3" t="s">
        <v>296</v>
      </c>
      <c r="AR1" s="3" t="s">
        <v>297</v>
      </c>
      <c r="AS1" s="3" t="s">
        <v>298</v>
      </c>
      <c r="AT1" s="3" t="s">
        <v>299</v>
      </c>
      <c r="AU1" s="3" t="s">
        <v>300</v>
      </c>
      <c r="AV1" s="3" t="s">
        <v>301</v>
      </c>
      <c r="AW1" s="3" t="s">
        <v>313</v>
      </c>
      <c r="AX1" s="3" t="s">
        <v>314</v>
      </c>
      <c r="AY1" s="3" t="s">
        <v>315</v>
      </c>
      <c r="AZ1" s="3" t="s">
        <v>316</v>
      </c>
      <c r="BA1" s="3" t="s">
        <v>317</v>
      </c>
      <c r="BB1" s="3" t="s">
        <v>318</v>
      </c>
      <c r="BC1" s="3" t="s">
        <v>319</v>
      </c>
      <c r="BD1" s="3" t="s">
        <v>320</v>
      </c>
      <c r="BE1" s="3" t="s">
        <v>321</v>
      </c>
      <c r="BF1" s="3" t="s">
        <v>322</v>
      </c>
      <c r="BG1" s="3" t="s">
        <v>323</v>
      </c>
      <c r="BH1" s="3" t="s">
        <v>324</v>
      </c>
      <c r="BI1" s="3" t="s">
        <v>325</v>
      </c>
      <c r="BJ1" s="3" t="s">
        <v>326</v>
      </c>
      <c r="BK1" s="3" t="s">
        <v>327</v>
      </c>
      <c r="BL1" s="3" t="s">
        <v>328</v>
      </c>
      <c r="BM1" s="3" t="s">
        <v>329</v>
      </c>
      <c r="BN1" s="3" t="s">
        <v>330</v>
      </c>
      <c r="BO1" s="3" t="s">
        <v>369</v>
      </c>
      <c r="BP1" s="3" t="s">
        <v>370</v>
      </c>
      <c r="BQ1" s="3" t="s">
        <v>371</v>
      </c>
      <c r="BR1" s="3" t="s">
        <v>372</v>
      </c>
      <c r="BS1" s="3" t="s">
        <v>373</v>
      </c>
      <c r="BT1" s="3" t="s">
        <v>374</v>
      </c>
      <c r="BU1" s="3" t="s">
        <v>386</v>
      </c>
      <c r="BV1" s="3" t="s">
        <v>387</v>
      </c>
      <c r="BW1" s="3" t="s">
        <v>388</v>
      </c>
      <c r="BX1" s="3" t="s">
        <v>391</v>
      </c>
    </row>
    <row r="2" spans="1:76" x14ac:dyDescent="0.3">
      <c r="A2" s="5" t="s">
        <v>109</v>
      </c>
      <c r="B2" s="11" t="s">
        <v>110</v>
      </c>
      <c r="C2" s="11" t="str">
        <f>A2&amp;","&amp;B2</f>
        <v>11,-1920</v>
      </c>
      <c r="D2" s="6">
        <v>4.22</v>
      </c>
      <c r="E2" s="6">
        <v>11.025</v>
      </c>
      <c r="F2" s="6">
        <v>16.600000000000001</v>
      </c>
      <c r="G2" s="6">
        <v>12.8</v>
      </c>
      <c r="H2" s="6">
        <v>6.54</v>
      </c>
      <c r="I2" s="6">
        <v>1.99</v>
      </c>
      <c r="J2" s="6">
        <v>1.22</v>
      </c>
      <c r="K2" s="6">
        <v>9.57</v>
      </c>
      <c r="L2" s="6">
        <v>3.375</v>
      </c>
      <c r="M2" s="6">
        <v>480</v>
      </c>
      <c r="N2" s="6">
        <v>0</v>
      </c>
      <c r="O2" s="6">
        <v>2</v>
      </c>
      <c r="P2" s="6">
        <v>0</v>
      </c>
      <c r="Q2" s="6">
        <v>0</v>
      </c>
      <c r="R2" s="6">
        <v>0</v>
      </c>
      <c r="S2" s="6">
        <v>0</v>
      </c>
      <c r="T2" s="6">
        <v>0</v>
      </c>
      <c r="U2" s="6">
        <v>12</v>
      </c>
      <c r="V2" s="6">
        <v>14.805</v>
      </c>
      <c r="W2" s="6">
        <v>101</v>
      </c>
      <c r="X2" s="6">
        <v>33.795000000000002</v>
      </c>
      <c r="Y2" s="6">
        <v>24.434999999999999</v>
      </c>
      <c r="Z2" s="6">
        <v>1.2869999999999999</v>
      </c>
      <c r="AA2" s="6">
        <v>2.9249999999999998</v>
      </c>
      <c r="AB2" s="6">
        <v>6.66</v>
      </c>
      <c r="AC2" s="6">
        <v>1.125</v>
      </c>
      <c r="AD2" s="6">
        <v>0.64349999999999996</v>
      </c>
      <c r="AE2" s="6">
        <v>0.17977499999999999</v>
      </c>
      <c r="AF2" s="6">
        <v>5.67E-2</v>
      </c>
      <c r="AG2" s="6">
        <v>0.22275</v>
      </c>
      <c r="AH2" s="6">
        <v>0.18881999999999999</v>
      </c>
      <c r="AI2" s="6">
        <v>0</v>
      </c>
      <c r="AJ2" s="6">
        <v>0</v>
      </c>
      <c r="AK2" s="6">
        <v>0</v>
      </c>
      <c r="AL2" s="6">
        <v>0</v>
      </c>
      <c r="AM2" s="6">
        <v>0</v>
      </c>
      <c r="AN2" s="6">
        <v>0</v>
      </c>
      <c r="AO2" s="6">
        <v>0</v>
      </c>
      <c r="AP2" s="6">
        <v>0</v>
      </c>
      <c r="AQ2" s="6">
        <v>0.66</v>
      </c>
      <c r="AR2" s="6">
        <v>0.8</v>
      </c>
      <c r="AS2" s="6">
        <v>1.1000000000000001</v>
      </c>
      <c r="AT2" s="6">
        <v>0</v>
      </c>
      <c r="AU2" s="6">
        <v>1.65</v>
      </c>
      <c r="AV2" s="6">
        <v>3.3</v>
      </c>
      <c r="AW2" s="6">
        <v>0</v>
      </c>
      <c r="AX2" s="6">
        <v>0</v>
      </c>
      <c r="AY2" s="6">
        <v>0</v>
      </c>
      <c r="AZ2" s="6">
        <v>0</v>
      </c>
      <c r="BA2" s="6">
        <v>0</v>
      </c>
      <c r="BB2" s="6">
        <v>0</v>
      </c>
      <c r="BC2" s="6">
        <v>0</v>
      </c>
      <c r="BD2" s="6"/>
      <c r="BE2" s="6">
        <v>0</v>
      </c>
      <c r="BF2" s="6">
        <v>0</v>
      </c>
      <c r="BG2" s="6">
        <v>0</v>
      </c>
      <c r="BH2" s="6">
        <v>0</v>
      </c>
      <c r="BI2" s="6"/>
      <c r="BJ2" s="6"/>
      <c r="BK2" s="6">
        <v>2.0699999999999998</v>
      </c>
      <c r="BL2" s="6">
        <v>8.48</v>
      </c>
      <c r="BM2" s="6">
        <v>7.75</v>
      </c>
      <c r="BN2" s="6">
        <v>2.1100000000000001E-2</v>
      </c>
      <c r="BO2" s="6">
        <v>1.24</v>
      </c>
      <c r="BP2" s="6">
        <v>5.76</v>
      </c>
      <c r="BQ2" s="6"/>
      <c r="BR2" s="6">
        <v>9.0300000000000005E-2</v>
      </c>
      <c r="BS2" s="6"/>
      <c r="BT2" s="6"/>
      <c r="BU2" s="6">
        <v>100</v>
      </c>
      <c r="BV2" s="6">
        <v>0</v>
      </c>
      <c r="BW2" s="6">
        <v>0.17499999999999999</v>
      </c>
      <c r="BX2" s="6">
        <v>0</v>
      </c>
    </row>
    <row r="3" spans="1:76" x14ac:dyDescent="0.3">
      <c r="A3" s="8" t="s">
        <v>109</v>
      </c>
      <c r="B3" s="12" t="s">
        <v>111</v>
      </c>
      <c r="C3" s="12" t="str">
        <f t="shared" ref="C3:C66" si="0">A3&amp;","&amp;B3</f>
        <v>11,1920-1925</v>
      </c>
      <c r="D3" s="9">
        <v>4.22</v>
      </c>
      <c r="E3" s="9">
        <v>11.025</v>
      </c>
      <c r="F3" s="9">
        <v>16.600000000000001</v>
      </c>
      <c r="G3" s="9">
        <v>12.8</v>
      </c>
      <c r="H3" s="9">
        <v>6.54</v>
      </c>
      <c r="I3" s="9">
        <v>1.99</v>
      </c>
      <c r="J3" s="9">
        <v>1.22</v>
      </c>
      <c r="K3" s="9">
        <v>9.57</v>
      </c>
      <c r="L3" s="9">
        <v>3.375</v>
      </c>
      <c r="M3" s="9">
        <v>480</v>
      </c>
      <c r="N3" s="9">
        <v>0</v>
      </c>
      <c r="O3" s="9">
        <v>31</v>
      </c>
      <c r="P3" s="9">
        <v>0</v>
      </c>
      <c r="Q3" s="9">
        <v>0</v>
      </c>
      <c r="R3" s="9">
        <v>0</v>
      </c>
      <c r="S3" s="9">
        <v>0</v>
      </c>
      <c r="T3" s="9">
        <v>0</v>
      </c>
      <c r="U3" s="9">
        <v>12</v>
      </c>
      <c r="V3" s="9">
        <v>14.805</v>
      </c>
      <c r="W3" s="9">
        <v>94.6</v>
      </c>
      <c r="X3" s="9">
        <v>33.795000000000002</v>
      </c>
      <c r="Y3" s="9">
        <v>24.434999999999999</v>
      </c>
      <c r="Z3" s="9">
        <v>1.2869999999999999</v>
      </c>
      <c r="AA3" s="9">
        <v>2.9249999999999998</v>
      </c>
      <c r="AB3" s="9">
        <v>6.66</v>
      </c>
      <c r="AC3" s="9">
        <v>1.125</v>
      </c>
      <c r="AD3" s="9">
        <v>0.64349999999999996</v>
      </c>
      <c r="AE3" s="9">
        <v>0.17977499999999999</v>
      </c>
      <c r="AF3" s="9">
        <v>5.67E-2</v>
      </c>
      <c r="AG3" s="9">
        <v>0.22275</v>
      </c>
      <c r="AH3" s="9">
        <v>0.18881999999999999</v>
      </c>
      <c r="AI3" s="9">
        <v>0</v>
      </c>
      <c r="AJ3" s="9">
        <v>0</v>
      </c>
      <c r="AK3" s="9">
        <v>0</v>
      </c>
      <c r="AL3" s="9">
        <v>0</v>
      </c>
      <c r="AM3" s="9">
        <v>0</v>
      </c>
      <c r="AN3" s="9">
        <v>0</v>
      </c>
      <c r="AO3" s="9">
        <v>0</v>
      </c>
      <c r="AP3" s="9">
        <v>0</v>
      </c>
      <c r="AQ3" s="9">
        <v>0.66</v>
      </c>
      <c r="AR3" s="9">
        <v>0.8</v>
      </c>
      <c r="AS3" s="9">
        <v>1.1000000000000001</v>
      </c>
      <c r="AT3" s="9">
        <v>0</v>
      </c>
      <c r="AU3" s="9">
        <v>1.65</v>
      </c>
      <c r="AV3" s="9">
        <v>3.3</v>
      </c>
      <c r="AW3" s="9">
        <v>0</v>
      </c>
      <c r="AX3" s="9">
        <v>0</v>
      </c>
      <c r="AY3" s="9">
        <v>0</v>
      </c>
      <c r="AZ3" s="9">
        <v>0</v>
      </c>
      <c r="BA3" s="9">
        <v>0</v>
      </c>
      <c r="BB3" s="9">
        <v>0</v>
      </c>
      <c r="BC3" s="9">
        <v>0</v>
      </c>
      <c r="BD3" s="9"/>
      <c r="BE3" s="9">
        <v>0</v>
      </c>
      <c r="BF3" s="9">
        <v>0</v>
      </c>
      <c r="BG3" s="9">
        <v>0</v>
      </c>
      <c r="BH3" s="9">
        <v>0</v>
      </c>
      <c r="BI3" s="9"/>
      <c r="BJ3" s="9"/>
      <c r="BK3" s="9">
        <v>4.1399999999999997</v>
      </c>
      <c r="BL3" s="9">
        <v>16.899999999999999</v>
      </c>
      <c r="BM3" s="9">
        <v>15.5</v>
      </c>
      <c r="BN3" s="9">
        <v>4.2200000000000001E-2</v>
      </c>
      <c r="BO3" s="9">
        <v>2.4700000000000002</v>
      </c>
      <c r="BP3" s="9">
        <v>11.5</v>
      </c>
      <c r="BQ3" s="9"/>
      <c r="BR3" s="9">
        <v>0.18099999999999999</v>
      </c>
      <c r="BS3" s="9"/>
      <c r="BT3" s="9"/>
      <c r="BU3" s="9">
        <v>139</v>
      </c>
      <c r="BV3" s="9">
        <v>0</v>
      </c>
      <c r="BW3" s="9">
        <v>0.17499999999999999</v>
      </c>
      <c r="BX3" s="9">
        <v>0</v>
      </c>
    </row>
    <row r="4" spans="1:76" x14ac:dyDescent="0.3">
      <c r="A4" s="5" t="s">
        <v>109</v>
      </c>
      <c r="B4" s="11" t="s">
        <v>112</v>
      </c>
      <c r="C4" s="11" t="str">
        <f t="shared" si="0"/>
        <v>11,1925-1930</v>
      </c>
      <c r="D4" s="6">
        <v>4.22</v>
      </c>
      <c r="E4" s="6">
        <v>11.025</v>
      </c>
      <c r="F4" s="6">
        <v>16.600000000000001</v>
      </c>
      <c r="G4" s="6">
        <v>12.8</v>
      </c>
      <c r="H4" s="6">
        <v>6.54</v>
      </c>
      <c r="I4" s="6">
        <v>1.99</v>
      </c>
      <c r="J4" s="6">
        <v>1.22</v>
      </c>
      <c r="K4" s="6">
        <v>9.57</v>
      </c>
      <c r="L4" s="6">
        <v>3.375</v>
      </c>
      <c r="M4" s="6">
        <v>480</v>
      </c>
      <c r="N4" s="6">
        <v>0</v>
      </c>
      <c r="O4" s="6">
        <v>58</v>
      </c>
      <c r="P4" s="6">
        <v>0</v>
      </c>
      <c r="Q4" s="6">
        <v>0</v>
      </c>
      <c r="R4" s="6">
        <v>0</v>
      </c>
      <c r="S4" s="6">
        <v>0</v>
      </c>
      <c r="T4" s="6">
        <v>0</v>
      </c>
      <c r="U4" s="6">
        <v>12</v>
      </c>
      <c r="V4" s="6">
        <v>14.805</v>
      </c>
      <c r="W4" s="6">
        <v>87.7</v>
      </c>
      <c r="X4" s="6">
        <v>33.795000000000002</v>
      </c>
      <c r="Y4" s="6">
        <v>24.434999999999999</v>
      </c>
      <c r="Z4" s="6">
        <v>1.2869999999999999</v>
      </c>
      <c r="AA4" s="6">
        <v>2.9249999999999998</v>
      </c>
      <c r="AB4" s="6">
        <v>6.66</v>
      </c>
      <c r="AC4" s="6">
        <v>1.125</v>
      </c>
      <c r="AD4" s="6">
        <v>0.64349999999999996</v>
      </c>
      <c r="AE4" s="6">
        <v>0.17977499999999999</v>
      </c>
      <c r="AF4" s="6">
        <v>5.67E-2</v>
      </c>
      <c r="AG4" s="6">
        <v>0.22275</v>
      </c>
      <c r="AH4" s="6">
        <v>0.18881999999999999</v>
      </c>
      <c r="AI4" s="6">
        <v>0</v>
      </c>
      <c r="AJ4" s="6">
        <v>0</v>
      </c>
      <c r="AK4" s="6">
        <v>0</v>
      </c>
      <c r="AL4" s="6">
        <v>0</v>
      </c>
      <c r="AM4" s="6">
        <v>0</v>
      </c>
      <c r="AN4" s="6">
        <v>0</v>
      </c>
      <c r="AO4" s="6">
        <v>0</v>
      </c>
      <c r="AP4" s="6">
        <v>0</v>
      </c>
      <c r="AQ4" s="6">
        <v>0.66</v>
      </c>
      <c r="AR4" s="6">
        <v>0.8</v>
      </c>
      <c r="AS4" s="6">
        <v>1.1000000000000001</v>
      </c>
      <c r="AT4" s="6">
        <v>0</v>
      </c>
      <c r="AU4" s="6">
        <v>1.65</v>
      </c>
      <c r="AV4" s="6">
        <v>3.3</v>
      </c>
      <c r="AW4" s="6">
        <v>0</v>
      </c>
      <c r="AX4" s="6">
        <v>0</v>
      </c>
      <c r="AY4" s="6">
        <v>0</v>
      </c>
      <c r="AZ4" s="6">
        <v>0</v>
      </c>
      <c r="BA4" s="6">
        <v>0</v>
      </c>
      <c r="BB4" s="6">
        <v>0</v>
      </c>
      <c r="BC4" s="6">
        <v>0</v>
      </c>
      <c r="BD4" s="6"/>
      <c r="BE4" s="6">
        <v>0</v>
      </c>
      <c r="BF4" s="6">
        <v>0</v>
      </c>
      <c r="BG4" s="6">
        <v>0</v>
      </c>
      <c r="BH4" s="6">
        <v>0</v>
      </c>
      <c r="BI4" s="6"/>
      <c r="BJ4" s="6"/>
      <c r="BK4" s="6">
        <v>6.21</v>
      </c>
      <c r="BL4" s="6">
        <v>25.4</v>
      </c>
      <c r="BM4" s="6">
        <v>23.2</v>
      </c>
      <c r="BN4" s="6">
        <v>6.3299999999999995E-2</v>
      </c>
      <c r="BO4" s="6">
        <v>3.71</v>
      </c>
      <c r="BP4" s="6">
        <v>17.3</v>
      </c>
      <c r="BQ4" s="6"/>
      <c r="BR4" s="6">
        <v>0.27100000000000002</v>
      </c>
      <c r="BS4" s="6"/>
      <c r="BT4" s="6"/>
      <c r="BU4" s="6">
        <v>178</v>
      </c>
      <c r="BV4" s="6">
        <v>0</v>
      </c>
      <c r="BW4" s="6">
        <v>0.17499999999999999</v>
      </c>
      <c r="BX4" s="6">
        <v>0</v>
      </c>
    </row>
    <row r="5" spans="1:76" x14ac:dyDescent="0.3">
      <c r="A5" s="8" t="s">
        <v>109</v>
      </c>
      <c r="B5" s="12" t="s">
        <v>113</v>
      </c>
      <c r="C5" s="12" t="str">
        <f t="shared" si="0"/>
        <v>11,1930-1935</v>
      </c>
      <c r="D5" s="9">
        <v>4.22</v>
      </c>
      <c r="E5" s="9">
        <v>11.025</v>
      </c>
      <c r="F5" s="9">
        <v>16.600000000000001</v>
      </c>
      <c r="G5" s="9">
        <v>12.8</v>
      </c>
      <c r="H5" s="9">
        <v>6.54</v>
      </c>
      <c r="I5" s="9">
        <v>1.99</v>
      </c>
      <c r="J5" s="9">
        <v>1.22</v>
      </c>
      <c r="K5" s="9">
        <v>9.57</v>
      </c>
      <c r="L5" s="9">
        <v>3.375</v>
      </c>
      <c r="M5" s="9">
        <v>480</v>
      </c>
      <c r="N5" s="9">
        <v>0</v>
      </c>
      <c r="O5" s="9">
        <v>84</v>
      </c>
      <c r="P5" s="9">
        <v>0</v>
      </c>
      <c r="Q5" s="9">
        <v>0</v>
      </c>
      <c r="R5" s="9">
        <v>0</v>
      </c>
      <c r="S5" s="9">
        <v>0</v>
      </c>
      <c r="T5" s="9">
        <v>2160</v>
      </c>
      <c r="U5" s="9">
        <v>12</v>
      </c>
      <c r="V5" s="9">
        <v>14.805</v>
      </c>
      <c r="W5" s="9">
        <v>80.900000000000006</v>
      </c>
      <c r="X5" s="9">
        <v>33.795000000000002</v>
      </c>
      <c r="Y5" s="9">
        <v>24.434999999999999</v>
      </c>
      <c r="Z5" s="9">
        <v>1.2869999999999999</v>
      </c>
      <c r="AA5" s="9">
        <v>2.9249999999999998</v>
      </c>
      <c r="AB5" s="9">
        <v>6.66</v>
      </c>
      <c r="AC5" s="9">
        <v>1.125</v>
      </c>
      <c r="AD5" s="9">
        <v>0.64349999999999996</v>
      </c>
      <c r="AE5" s="9">
        <v>0.17977499999999999</v>
      </c>
      <c r="AF5" s="9">
        <v>5.67E-2</v>
      </c>
      <c r="AG5" s="9">
        <v>0.22275</v>
      </c>
      <c r="AH5" s="9">
        <v>0.18881999999999999</v>
      </c>
      <c r="AI5" s="9">
        <v>0</v>
      </c>
      <c r="AJ5" s="9">
        <v>0</v>
      </c>
      <c r="AK5" s="9">
        <v>0</v>
      </c>
      <c r="AL5" s="9">
        <v>0</v>
      </c>
      <c r="AM5" s="9">
        <v>0</v>
      </c>
      <c r="AN5" s="9">
        <v>0</v>
      </c>
      <c r="AO5" s="9">
        <v>0</v>
      </c>
      <c r="AP5" s="9">
        <v>0</v>
      </c>
      <c r="AQ5" s="9">
        <v>0.66</v>
      </c>
      <c r="AR5" s="9">
        <v>0.8</v>
      </c>
      <c r="AS5" s="9">
        <v>1.1000000000000001</v>
      </c>
      <c r="AT5" s="9">
        <v>0</v>
      </c>
      <c r="AU5" s="9">
        <v>1.65</v>
      </c>
      <c r="AV5" s="9">
        <v>3.3</v>
      </c>
      <c r="AW5" s="9">
        <v>0</v>
      </c>
      <c r="AX5" s="9">
        <v>0</v>
      </c>
      <c r="AY5" s="9">
        <v>0</v>
      </c>
      <c r="AZ5" s="9">
        <v>0</v>
      </c>
      <c r="BA5" s="9">
        <v>0</v>
      </c>
      <c r="BB5" s="9">
        <v>0</v>
      </c>
      <c r="BC5" s="9">
        <v>0</v>
      </c>
      <c r="BD5" s="9"/>
      <c r="BE5" s="9">
        <v>0</v>
      </c>
      <c r="BF5" s="9">
        <v>0</v>
      </c>
      <c r="BG5" s="9">
        <v>0</v>
      </c>
      <c r="BH5" s="9">
        <v>0</v>
      </c>
      <c r="BI5" s="9"/>
      <c r="BJ5" s="9"/>
      <c r="BK5" s="9">
        <v>8.2799999999999994</v>
      </c>
      <c r="BL5" s="9">
        <v>33.9</v>
      </c>
      <c r="BM5" s="9">
        <v>31</v>
      </c>
      <c r="BN5" s="9">
        <v>8.4400000000000003E-2</v>
      </c>
      <c r="BO5" s="9">
        <v>4.9400000000000004</v>
      </c>
      <c r="BP5" s="9">
        <v>23.1</v>
      </c>
      <c r="BQ5" s="9"/>
      <c r="BR5" s="9">
        <v>0.36099999999999999</v>
      </c>
      <c r="BS5" s="9"/>
      <c r="BT5" s="9"/>
      <c r="BU5" s="9">
        <v>218</v>
      </c>
      <c r="BV5" s="9">
        <v>0</v>
      </c>
      <c r="BW5" s="9">
        <v>0.17499999999999999</v>
      </c>
      <c r="BX5" s="9">
        <v>0</v>
      </c>
    </row>
    <row r="6" spans="1:76" x14ac:dyDescent="0.3">
      <c r="A6" s="5" t="s">
        <v>109</v>
      </c>
      <c r="B6" s="11" t="s">
        <v>114</v>
      </c>
      <c r="C6" s="11" t="str">
        <f t="shared" si="0"/>
        <v>11,1935-1940</v>
      </c>
      <c r="D6" s="6">
        <v>4.22</v>
      </c>
      <c r="E6" s="6">
        <v>11.025</v>
      </c>
      <c r="F6" s="6">
        <v>16.600000000000001</v>
      </c>
      <c r="G6" s="6">
        <v>12.8</v>
      </c>
      <c r="H6" s="6">
        <v>6.54</v>
      </c>
      <c r="I6" s="6">
        <v>1.99</v>
      </c>
      <c r="J6" s="6">
        <v>1.22</v>
      </c>
      <c r="K6" s="6">
        <v>9.57</v>
      </c>
      <c r="L6" s="6">
        <v>3.375</v>
      </c>
      <c r="M6" s="6">
        <v>480</v>
      </c>
      <c r="N6" s="6">
        <v>0</v>
      </c>
      <c r="O6" s="6">
        <v>110</v>
      </c>
      <c r="P6" s="6">
        <v>0</v>
      </c>
      <c r="Q6" s="6">
        <v>0</v>
      </c>
      <c r="R6" s="6">
        <v>0</v>
      </c>
      <c r="S6" s="6">
        <v>0</v>
      </c>
      <c r="T6" s="6">
        <v>2160</v>
      </c>
      <c r="U6" s="6">
        <v>12</v>
      </c>
      <c r="V6" s="6">
        <v>14.805</v>
      </c>
      <c r="W6" s="6">
        <v>74.099999999999994</v>
      </c>
      <c r="X6" s="6">
        <v>33.795000000000002</v>
      </c>
      <c r="Y6" s="6">
        <v>24.434999999999999</v>
      </c>
      <c r="Z6" s="6">
        <v>1.2869999999999999</v>
      </c>
      <c r="AA6" s="6">
        <v>2.9249999999999998</v>
      </c>
      <c r="AB6" s="6">
        <v>6.66</v>
      </c>
      <c r="AC6" s="6">
        <v>1.125</v>
      </c>
      <c r="AD6" s="6">
        <v>0.64349999999999996</v>
      </c>
      <c r="AE6" s="6">
        <v>0.17977499999999999</v>
      </c>
      <c r="AF6" s="6">
        <v>5.67E-2</v>
      </c>
      <c r="AG6" s="6">
        <v>0.22275</v>
      </c>
      <c r="AH6" s="6">
        <v>0.18881999999999999</v>
      </c>
      <c r="AI6" s="6">
        <v>0</v>
      </c>
      <c r="AJ6" s="6">
        <v>0</v>
      </c>
      <c r="AK6" s="6">
        <v>0</v>
      </c>
      <c r="AL6" s="6">
        <v>0</v>
      </c>
      <c r="AM6" s="6">
        <v>0</v>
      </c>
      <c r="AN6" s="6">
        <v>0</v>
      </c>
      <c r="AO6" s="6">
        <v>0</v>
      </c>
      <c r="AP6" s="6">
        <v>0</v>
      </c>
      <c r="AQ6" s="6">
        <v>0.66</v>
      </c>
      <c r="AR6" s="6">
        <v>0.8</v>
      </c>
      <c r="AS6" s="6">
        <v>1.1000000000000001</v>
      </c>
      <c r="AT6" s="6">
        <v>0</v>
      </c>
      <c r="AU6" s="6">
        <v>1.65</v>
      </c>
      <c r="AV6" s="6">
        <v>3.3</v>
      </c>
      <c r="AW6" s="6">
        <v>0</v>
      </c>
      <c r="AX6" s="6">
        <v>0</v>
      </c>
      <c r="AY6" s="6">
        <v>0</v>
      </c>
      <c r="AZ6" s="6">
        <v>0</v>
      </c>
      <c r="BA6" s="6">
        <v>0</v>
      </c>
      <c r="BB6" s="6">
        <v>0</v>
      </c>
      <c r="BC6" s="6">
        <v>0</v>
      </c>
      <c r="BD6" s="6"/>
      <c r="BE6" s="6">
        <v>0</v>
      </c>
      <c r="BF6" s="6">
        <v>0</v>
      </c>
      <c r="BG6" s="6">
        <v>0</v>
      </c>
      <c r="BH6" s="6">
        <v>0</v>
      </c>
      <c r="BI6" s="6"/>
      <c r="BJ6" s="6"/>
      <c r="BK6" s="6">
        <v>10.3</v>
      </c>
      <c r="BL6" s="6">
        <v>42.3</v>
      </c>
      <c r="BM6" s="6">
        <v>38.700000000000003</v>
      </c>
      <c r="BN6" s="6">
        <v>0.106</v>
      </c>
      <c r="BO6" s="6">
        <v>6.18</v>
      </c>
      <c r="BP6" s="6">
        <v>28.8</v>
      </c>
      <c r="BQ6" s="6"/>
      <c r="BR6" s="6">
        <v>0.45100000000000001</v>
      </c>
      <c r="BS6" s="6"/>
      <c r="BT6" s="6"/>
      <c r="BU6" s="6">
        <v>257</v>
      </c>
      <c r="BV6" s="6">
        <v>0</v>
      </c>
      <c r="BW6" s="6">
        <v>0.17499999999999999</v>
      </c>
      <c r="BX6" s="6">
        <v>0</v>
      </c>
    </row>
    <row r="7" spans="1:76" x14ac:dyDescent="0.3">
      <c r="A7" s="8" t="s">
        <v>109</v>
      </c>
      <c r="B7" s="12" t="s">
        <v>115</v>
      </c>
      <c r="C7" s="12" t="str">
        <f t="shared" si="0"/>
        <v>11,1940-1945</v>
      </c>
      <c r="D7" s="9">
        <v>4.22</v>
      </c>
      <c r="E7" s="9">
        <v>11.025</v>
      </c>
      <c r="F7" s="9">
        <v>16.600000000000001</v>
      </c>
      <c r="G7" s="9">
        <v>12.8</v>
      </c>
      <c r="H7" s="9">
        <v>6.54</v>
      </c>
      <c r="I7" s="9">
        <v>1.99</v>
      </c>
      <c r="J7" s="9">
        <v>1.22</v>
      </c>
      <c r="K7" s="9">
        <v>9.57</v>
      </c>
      <c r="L7" s="9">
        <v>3.375</v>
      </c>
      <c r="M7" s="9">
        <v>480</v>
      </c>
      <c r="N7" s="9">
        <v>0</v>
      </c>
      <c r="O7" s="9">
        <v>159</v>
      </c>
      <c r="P7" s="9">
        <v>0</v>
      </c>
      <c r="Q7" s="9">
        <v>0</v>
      </c>
      <c r="R7" s="9">
        <v>0</v>
      </c>
      <c r="S7" s="9">
        <v>0</v>
      </c>
      <c r="T7" s="9">
        <v>2160</v>
      </c>
      <c r="U7" s="9">
        <v>12</v>
      </c>
      <c r="V7" s="9">
        <v>14.805</v>
      </c>
      <c r="W7" s="9">
        <v>67.3</v>
      </c>
      <c r="X7" s="9">
        <v>33.795000000000002</v>
      </c>
      <c r="Y7" s="9">
        <v>24.434999999999999</v>
      </c>
      <c r="Z7" s="9">
        <v>1.2869999999999999</v>
      </c>
      <c r="AA7" s="9">
        <v>2.9249999999999998</v>
      </c>
      <c r="AB7" s="9">
        <v>6.66</v>
      </c>
      <c r="AC7" s="9">
        <v>1.125</v>
      </c>
      <c r="AD7" s="9">
        <v>0.64349999999999996</v>
      </c>
      <c r="AE7" s="9">
        <v>0.17977499999999999</v>
      </c>
      <c r="AF7" s="9">
        <v>5.67E-2</v>
      </c>
      <c r="AG7" s="9">
        <v>0.22275</v>
      </c>
      <c r="AH7" s="9">
        <v>0.18881999999999999</v>
      </c>
      <c r="AI7" s="9">
        <v>0</v>
      </c>
      <c r="AJ7" s="9">
        <v>0</v>
      </c>
      <c r="AK7" s="9">
        <v>0</v>
      </c>
      <c r="AL7" s="9">
        <v>0</v>
      </c>
      <c r="AM7" s="9">
        <v>0</v>
      </c>
      <c r="AN7" s="9">
        <v>0</v>
      </c>
      <c r="AO7" s="9">
        <v>0</v>
      </c>
      <c r="AP7" s="9">
        <v>0</v>
      </c>
      <c r="AQ7" s="9">
        <v>0.66</v>
      </c>
      <c r="AR7" s="9">
        <v>0.8</v>
      </c>
      <c r="AS7" s="9">
        <v>1.1000000000000001</v>
      </c>
      <c r="AT7" s="9">
        <v>0</v>
      </c>
      <c r="AU7" s="9">
        <v>1.65</v>
      </c>
      <c r="AV7" s="9">
        <v>3.3</v>
      </c>
      <c r="AW7" s="9">
        <v>0</v>
      </c>
      <c r="AX7" s="9">
        <v>0</v>
      </c>
      <c r="AY7" s="9">
        <v>0</v>
      </c>
      <c r="AZ7" s="9">
        <v>0</v>
      </c>
      <c r="BA7" s="9">
        <v>0</v>
      </c>
      <c r="BB7" s="9">
        <v>0</v>
      </c>
      <c r="BC7" s="9">
        <v>0</v>
      </c>
      <c r="BD7" s="9"/>
      <c r="BE7" s="9">
        <v>0</v>
      </c>
      <c r="BF7" s="9">
        <v>0</v>
      </c>
      <c r="BG7" s="9">
        <v>0</v>
      </c>
      <c r="BH7" s="9">
        <v>0</v>
      </c>
      <c r="BI7" s="9"/>
      <c r="BJ7" s="9"/>
      <c r="BK7" s="9">
        <v>14.9</v>
      </c>
      <c r="BL7" s="9">
        <v>61</v>
      </c>
      <c r="BM7" s="9">
        <v>55.8</v>
      </c>
      <c r="BN7" s="9">
        <v>0.152</v>
      </c>
      <c r="BO7" s="9">
        <v>7.42</v>
      </c>
      <c r="BP7" s="9">
        <v>34.6</v>
      </c>
      <c r="BQ7" s="9"/>
      <c r="BR7" s="9">
        <v>0.54200000000000004</v>
      </c>
      <c r="BS7" s="9"/>
      <c r="BT7" s="9"/>
      <c r="BU7" s="9">
        <v>296</v>
      </c>
      <c r="BV7" s="9">
        <v>0</v>
      </c>
      <c r="BW7" s="9">
        <v>0.17499999999999999</v>
      </c>
      <c r="BX7" s="9">
        <v>0</v>
      </c>
    </row>
    <row r="8" spans="1:76" x14ac:dyDescent="0.3">
      <c r="A8" s="5" t="s">
        <v>109</v>
      </c>
      <c r="B8" s="11" t="s">
        <v>116</v>
      </c>
      <c r="C8" s="11" t="str">
        <f t="shared" si="0"/>
        <v>11,1945-1950</v>
      </c>
      <c r="D8" s="6">
        <v>4.22</v>
      </c>
      <c r="E8" s="6">
        <v>11.025</v>
      </c>
      <c r="F8" s="6">
        <v>16.600000000000001</v>
      </c>
      <c r="G8" s="6">
        <v>12.8</v>
      </c>
      <c r="H8" s="6">
        <v>6.54</v>
      </c>
      <c r="I8" s="6">
        <v>1.99</v>
      </c>
      <c r="J8" s="6">
        <v>1.22</v>
      </c>
      <c r="K8" s="6">
        <v>9.57</v>
      </c>
      <c r="L8" s="6">
        <v>3.375</v>
      </c>
      <c r="M8" s="6">
        <v>480</v>
      </c>
      <c r="N8" s="6">
        <v>0</v>
      </c>
      <c r="O8" s="6">
        <v>189</v>
      </c>
      <c r="P8" s="6">
        <v>0</v>
      </c>
      <c r="Q8" s="6">
        <v>0</v>
      </c>
      <c r="R8" s="6">
        <v>0</v>
      </c>
      <c r="S8" s="6">
        <v>0</v>
      </c>
      <c r="T8" s="6">
        <v>2160</v>
      </c>
      <c r="U8" s="6">
        <v>12</v>
      </c>
      <c r="V8" s="6">
        <v>14.805</v>
      </c>
      <c r="W8" s="6">
        <v>60.5</v>
      </c>
      <c r="X8" s="6">
        <v>33.795000000000002</v>
      </c>
      <c r="Y8" s="6">
        <v>24.434999999999999</v>
      </c>
      <c r="Z8" s="6">
        <v>1.2869999999999999</v>
      </c>
      <c r="AA8" s="6">
        <v>2.9249999999999998</v>
      </c>
      <c r="AB8" s="6">
        <v>6.66</v>
      </c>
      <c r="AC8" s="6">
        <v>1.125</v>
      </c>
      <c r="AD8" s="6">
        <v>0.64349999999999996</v>
      </c>
      <c r="AE8" s="6">
        <v>0.17977499999999999</v>
      </c>
      <c r="AF8" s="6">
        <v>5.67E-2</v>
      </c>
      <c r="AG8" s="6">
        <v>0.22275</v>
      </c>
      <c r="AH8" s="6">
        <v>0.18881999999999999</v>
      </c>
      <c r="AI8" s="6">
        <v>0</v>
      </c>
      <c r="AJ8" s="6">
        <v>0</v>
      </c>
      <c r="AK8" s="6">
        <v>0</v>
      </c>
      <c r="AL8" s="6">
        <v>0</v>
      </c>
      <c r="AM8" s="6">
        <v>0</v>
      </c>
      <c r="AN8" s="6">
        <v>0</v>
      </c>
      <c r="AO8" s="6">
        <v>0</v>
      </c>
      <c r="AP8" s="6">
        <v>0</v>
      </c>
      <c r="AQ8" s="6">
        <v>0.66</v>
      </c>
      <c r="AR8" s="6">
        <v>0.8</v>
      </c>
      <c r="AS8" s="6">
        <v>1.1000000000000001</v>
      </c>
      <c r="AT8" s="6">
        <v>0</v>
      </c>
      <c r="AU8" s="6">
        <v>1.65</v>
      </c>
      <c r="AV8" s="6">
        <v>3.3</v>
      </c>
      <c r="AW8" s="6">
        <v>0</v>
      </c>
      <c r="AX8" s="6">
        <v>0</v>
      </c>
      <c r="AY8" s="6">
        <v>0</v>
      </c>
      <c r="AZ8" s="6">
        <v>0</v>
      </c>
      <c r="BA8" s="6">
        <v>0</v>
      </c>
      <c r="BB8" s="6">
        <v>0</v>
      </c>
      <c r="BC8" s="6">
        <v>0.69299999999999995</v>
      </c>
      <c r="BD8" s="6"/>
      <c r="BE8" s="6">
        <v>4.67</v>
      </c>
      <c r="BF8" s="6">
        <v>3.22</v>
      </c>
      <c r="BG8" s="6">
        <v>2.83</v>
      </c>
      <c r="BH8" s="6">
        <v>0.4</v>
      </c>
      <c r="BI8" s="6"/>
      <c r="BJ8" s="6"/>
      <c r="BK8" s="6">
        <v>12.4</v>
      </c>
      <c r="BL8" s="6">
        <v>51</v>
      </c>
      <c r="BM8" s="6">
        <v>46.5</v>
      </c>
      <c r="BN8" s="6">
        <v>0.127</v>
      </c>
      <c r="BO8" s="6">
        <v>8.65</v>
      </c>
      <c r="BP8" s="6">
        <v>40.299999999999997</v>
      </c>
      <c r="BQ8" s="6"/>
      <c r="BR8" s="6">
        <v>0.63200000000000001</v>
      </c>
      <c r="BS8" s="6"/>
      <c r="BT8" s="6"/>
      <c r="BU8" s="6">
        <v>335</v>
      </c>
      <c r="BV8" s="6">
        <v>0</v>
      </c>
      <c r="BW8" s="6">
        <v>0.17499999999999999</v>
      </c>
      <c r="BX8" s="6">
        <v>0</v>
      </c>
    </row>
    <row r="9" spans="1:76" x14ac:dyDescent="0.3">
      <c r="A9" s="8" t="s">
        <v>109</v>
      </c>
      <c r="B9" s="12" t="s">
        <v>117</v>
      </c>
      <c r="C9" s="12" t="str">
        <f t="shared" si="0"/>
        <v>11,1950-1955</v>
      </c>
      <c r="D9" s="9">
        <v>4.22</v>
      </c>
      <c r="E9" s="9">
        <v>11.025</v>
      </c>
      <c r="F9" s="9">
        <v>16.600000000000001</v>
      </c>
      <c r="G9" s="9">
        <v>12.8</v>
      </c>
      <c r="H9" s="9">
        <v>6.54</v>
      </c>
      <c r="I9" s="9">
        <v>1.99</v>
      </c>
      <c r="J9" s="9">
        <v>1.22</v>
      </c>
      <c r="K9" s="9">
        <v>9.57</v>
      </c>
      <c r="L9" s="9">
        <v>3.375</v>
      </c>
      <c r="M9" s="9">
        <v>480</v>
      </c>
      <c r="N9" s="9">
        <v>192</v>
      </c>
      <c r="O9" s="9">
        <v>220</v>
      </c>
      <c r="P9" s="9">
        <v>360</v>
      </c>
      <c r="Q9" s="9">
        <v>4</v>
      </c>
      <c r="R9" s="9">
        <v>0</v>
      </c>
      <c r="S9" s="9">
        <v>192</v>
      </c>
      <c r="T9" s="9">
        <v>2160</v>
      </c>
      <c r="U9" s="9">
        <v>12</v>
      </c>
      <c r="V9" s="9">
        <v>14.805</v>
      </c>
      <c r="W9" s="9">
        <v>53.6</v>
      </c>
      <c r="X9" s="9">
        <v>33.795000000000002</v>
      </c>
      <c r="Y9" s="9">
        <v>24.434999999999999</v>
      </c>
      <c r="Z9" s="9">
        <v>1.2869999999999999</v>
      </c>
      <c r="AA9" s="9">
        <v>2.9249999999999998</v>
      </c>
      <c r="AB9" s="9">
        <v>6.66</v>
      </c>
      <c r="AC9" s="9">
        <v>1.125</v>
      </c>
      <c r="AD9" s="9">
        <v>0.64349999999999996</v>
      </c>
      <c r="AE9" s="9">
        <v>0.17977499999999999</v>
      </c>
      <c r="AF9" s="9">
        <v>5.67E-2</v>
      </c>
      <c r="AG9" s="9">
        <v>0.22275</v>
      </c>
      <c r="AH9" s="9">
        <v>0.18881999999999999</v>
      </c>
      <c r="AI9" s="9">
        <v>0</v>
      </c>
      <c r="AJ9" s="9">
        <v>0</v>
      </c>
      <c r="AK9" s="9">
        <v>0</v>
      </c>
      <c r="AL9" s="9">
        <v>0</v>
      </c>
      <c r="AM9" s="9">
        <v>0</v>
      </c>
      <c r="AN9" s="9">
        <v>0</v>
      </c>
      <c r="AO9" s="9">
        <v>2.1100000000000001E-2</v>
      </c>
      <c r="AP9" s="9">
        <v>1.4500000000000001E-2</v>
      </c>
      <c r="AQ9" s="9">
        <v>0.66</v>
      </c>
      <c r="AR9" s="9">
        <v>0.8</v>
      </c>
      <c r="AS9" s="9">
        <v>1.1000000000000001</v>
      </c>
      <c r="AT9" s="9">
        <v>0</v>
      </c>
      <c r="AU9" s="9">
        <v>1.65</v>
      </c>
      <c r="AV9" s="9">
        <v>3.3</v>
      </c>
      <c r="AW9" s="9">
        <v>0</v>
      </c>
      <c r="AX9" s="9">
        <v>0</v>
      </c>
      <c r="AY9" s="9">
        <v>0</v>
      </c>
      <c r="AZ9" s="9">
        <v>0</v>
      </c>
      <c r="BA9" s="9">
        <v>0</v>
      </c>
      <c r="BB9" s="9">
        <v>0</v>
      </c>
      <c r="BC9" s="9">
        <v>1.39</v>
      </c>
      <c r="BD9" s="9"/>
      <c r="BE9" s="9">
        <v>9.33</v>
      </c>
      <c r="BF9" s="9">
        <v>6.43</v>
      </c>
      <c r="BG9" s="9">
        <v>5.67</v>
      </c>
      <c r="BH9" s="9">
        <v>0.8</v>
      </c>
      <c r="BI9" s="9"/>
      <c r="BJ9" s="9"/>
      <c r="BK9" s="9">
        <v>9.94</v>
      </c>
      <c r="BL9" s="9">
        <v>40.6</v>
      </c>
      <c r="BM9" s="9">
        <v>37.200000000000003</v>
      </c>
      <c r="BN9" s="9">
        <v>0.10199999999999999</v>
      </c>
      <c r="BO9" s="9">
        <v>9.89</v>
      </c>
      <c r="BP9" s="9">
        <v>46.1</v>
      </c>
      <c r="BQ9" s="9"/>
      <c r="BR9" s="9">
        <v>0.72199999999999998</v>
      </c>
      <c r="BS9" s="9"/>
      <c r="BT9" s="9"/>
      <c r="BU9" s="9">
        <v>374</v>
      </c>
      <c r="BV9" s="9">
        <v>0</v>
      </c>
      <c r="BW9" s="9">
        <v>0.17499999999999999</v>
      </c>
      <c r="BX9" s="9">
        <v>0</v>
      </c>
    </row>
    <row r="10" spans="1:76" x14ac:dyDescent="0.3">
      <c r="A10" s="5" t="s">
        <v>109</v>
      </c>
      <c r="B10" s="11" t="s">
        <v>118</v>
      </c>
      <c r="C10" s="11" t="str">
        <f t="shared" si="0"/>
        <v>11,1955-1960</v>
      </c>
      <c r="D10" s="6">
        <v>4.22</v>
      </c>
      <c r="E10" s="6">
        <v>11.025</v>
      </c>
      <c r="F10" s="6">
        <v>16.600000000000001</v>
      </c>
      <c r="G10" s="6">
        <v>12.8</v>
      </c>
      <c r="H10" s="6">
        <v>6.54</v>
      </c>
      <c r="I10" s="6">
        <v>1.99</v>
      </c>
      <c r="J10" s="6">
        <v>1.22</v>
      </c>
      <c r="K10" s="6">
        <v>9.57</v>
      </c>
      <c r="L10" s="6">
        <v>3.375</v>
      </c>
      <c r="M10" s="6">
        <v>480</v>
      </c>
      <c r="N10" s="6">
        <v>240</v>
      </c>
      <c r="O10" s="6">
        <v>250</v>
      </c>
      <c r="P10" s="6">
        <v>360</v>
      </c>
      <c r="Q10" s="6">
        <v>4</v>
      </c>
      <c r="R10" s="6">
        <v>0</v>
      </c>
      <c r="S10" s="6">
        <v>240</v>
      </c>
      <c r="T10" s="6">
        <v>2160</v>
      </c>
      <c r="U10" s="6">
        <v>12</v>
      </c>
      <c r="V10" s="6">
        <v>14.805</v>
      </c>
      <c r="W10" s="6">
        <v>46.8</v>
      </c>
      <c r="X10" s="6">
        <v>33.795000000000002</v>
      </c>
      <c r="Y10" s="6">
        <v>24.434999999999999</v>
      </c>
      <c r="Z10" s="6">
        <v>1.2869999999999999</v>
      </c>
      <c r="AA10" s="6">
        <v>2.9249999999999998</v>
      </c>
      <c r="AB10" s="6">
        <v>6.66</v>
      </c>
      <c r="AC10" s="6">
        <v>1.125</v>
      </c>
      <c r="AD10" s="6">
        <v>0.64349999999999996</v>
      </c>
      <c r="AE10" s="6">
        <v>0.17977499999999999</v>
      </c>
      <c r="AF10" s="6">
        <v>5.67E-2</v>
      </c>
      <c r="AG10" s="6">
        <v>0.22275</v>
      </c>
      <c r="AH10" s="6">
        <v>0.18881999999999999</v>
      </c>
      <c r="AI10" s="6">
        <v>0</v>
      </c>
      <c r="AJ10" s="6">
        <v>0</v>
      </c>
      <c r="AK10" s="6">
        <v>0</v>
      </c>
      <c r="AL10" s="6">
        <v>0</v>
      </c>
      <c r="AM10" s="6">
        <v>0</v>
      </c>
      <c r="AN10" s="6">
        <v>0</v>
      </c>
      <c r="AO10" s="6">
        <v>0.10199999999999999</v>
      </c>
      <c r="AP10" s="6">
        <v>6.9900000000000004E-2</v>
      </c>
      <c r="AQ10" s="6">
        <v>0.66</v>
      </c>
      <c r="AR10" s="6">
        <v>0.8</v>
      </c>
      <c r="AS10" s="6">
        <v>1.1000000000000001</v>
      </c>
      <c r="AT10" s="6">
        <v>0</v>
      </c>
      <c r="AU10" s="6">
        <v>1.65</v>
      </c>
      <c r="AV10" s="6">
        <v>3.3</v>
      </c>
      <c r="AW10" s="6">
        <v>1.3</v>
      </c>
      <c r="AX10" s="6">
        <v>16.399999999999999</v>
      </c>
      <c r="AY10" s="6">
        <v>0.16</v>
      </c>
      <c r="AZ10" s="6">
        <v>0.10299999999999999</v>
      </c>
      <c r="BA10" s="6">
        <v>4.2799999999999998E-2</v>
      </c>
      <c r="BB10" s="6">
        <v>1.46E-2</v>
      </c>
      <c r="BC10" s="6">
        <v>2.08</v>
      </c>
      <c r="BD10" s="6"/>
      <c r="BE10" s="6">
        <v>14</v>
      </c>
      <c r="BF10" s="6">
        <v>9.65</v>
      </c>
      <c r="BG10" s="6">
        <v>8.5</v>
      </c>
      <c r="BH10" s="6">
        <v>1.2</v>
      </c>
      <c r="BI10" s="6"/>
      <c r="BJ10" s="6"/>
      <c r="BK10" s="6">
        <v>7.46</v>
      </c>
      <c r="BL10" s="6">
        <v>30.5</v>
      </c>
      <c r="BM10" s="6">
        <v>27.9</v>
      </c>
      <c r="BN10" s="6">
        <v>7.6200000000000004E-2</v>
      </c>
      <c r="BO10" s="6">
        <v>11.1</v>
      </c>
      <c r="BP10" s="6">
        <v>51.9</v>
      </c>
      <c r="BQ10" s="6"/>
      <c r="BR10" s="6">
        <v>0.81200000000000006</v>
      </c>
      <c r="BS10" s="6"/>
      <c r="BT10" s="6"/>
      <c r="BU10" s="6">
        <v>413</v>
      </c>
      <c r="BV10" s="6">
        <v>1.4999999999999999E-2</v>
      </c>
      <c r="BW10" s="6">
        <v>0.17499999999999999</v>
      </c>
      <c r="BX10" s="6">
        <v>0</v>
      </c>
    </row>
    <row r="11" spans="1:76" x14ac:dyDescent="0.3">
      <c r="A11" s="8" t="s">
        <v>109</v>
      </c>
      <c r="B11" s="12" t="s">
        <v>119</v>
      </c>
      <c r="C11" s="12" t="str">
        <f t="shared" si="0"/>
        <v>11,1960-1965</v>
      </c>
      <c r="D11" s="9">
        <v>4.22</v>
      </c>
      <c r="E11" s="9">
        <v>11.025</v>
      </c>
      <c r="F11" s="9">
        <v>16.600000000000001</v>
      </c>
      <c r="G11" s="9">
        <v>12.8</v>
      </c>
      <c r="H11" s="9">
        <v>6.54</v>
      </c>
      <c r="I11" s="9">
        <v>1.99</v>
      </c>
      <c r="J11" s="9">
        <v>1.22</v>
      </c>
      <c r="K11" s="9">
        <v>9.57</v>
      </c>
      <c r="L11" s="9">
        <v>3.375</v>
      </c>
      <c r="M11" s="9">
        <v>480</v>
      </c>
      <c r="N11" s="9">
        <v>240</v>
      </c>
      <c r="O11" s="9">
        <v>251</v>
      </c>
      <c r="P11" s="9">
        <v>360</v>
      </c>
      <c r="Q11" s="9">
        <v>4</v>
      </c>
      <c r="R11" s="9">
        <v>5</v>
      </c>
      <c r="S11" s="9">
        <v>240</v>
      </c>
      <c r="T11" s="9">
        <v>1800</v>
      </c>
      <c r="U11" s="9">
        <v>12</v>
      </c>
      <c r="V11" s="9">
        <v>14.805</v>
      </c>
      <c r="W11" s="9">
        <v>40</v>
      </c>
      <c r="X11" s="9">
        <v>33.795000000000002</v>
      </c>
      <c r="Y11" s="9">
        <v>24.434999999999999</v>
      </c>
      <c r="Z11" s="9">
        <v>1.2869999999999999</v>
      </c>
      <c r="AA11" s="9">
        <v>2.9249999999999998</v>
      </c>
      <c r="AB11" s="9">
        <v>6.66</v>
      </c>
      <c r="AC11" s="9">
        <v>1.125</v>
      </c>
      <c r="AD11" s="9">
        <v>0.64349999999999996</v>
      </c>
      <c r="AE11" s="9">
        <v>0.17977499999999999</v>
      </c>
      <c r="AF11" s="9">
        <v>5.67E-2</v>
      </c>
      <c r="AG11" s="9">
        <v>0.22275</v>
      </c>
      <c r="AH11" s="9">
        <v>0.18881999999999999</v>
      </c>
      <c r="AI11" s="9">
        <v>0</v>
      </c>
      <c r="AJ11" s="9">
        <v>0</v>
      </c>
      <c r="AK11" s="9">
        <v>0</v>
      </c>
      <c r="AL11" s="9">
        <v>0</v>
      </c>
      <c r="AM11" s="9">
        <v>8.1300000000000001E-3</v>
      </c>
      <c r="AN11" s="9">
        <v>8.1300000000000001E-3</v>
      </c>
      <c r="AO11" s="9">
        <v>0.186</v>
      </c>
      <c r="AP11" s="9">
        <v>0.128</v>
      </c>
      <c r="AQ11" s="9">
        <v>0.66</v>
      </c>
      <c r="AR11" s="9">
        <v>0.8</v>
      </c>
      <c r="AS11" s="9">
        <v>1.1000000000000001</v>
      </c>
      <c r="AT11" s="9">
        <v>0</v>
      </c>
      <c r="AU11" s="9">
        <v>1.65</v>
      </c>
      <c r="AV11" s="9">
        <v>3.3</v>
      </c>
      <c r="AW11" s="9">
        <v>2.6</v>
      </c>
      <c r="AX11" s="9">
        <v>32.799999999999997</v>
      </c>
      <c r="AY11" s="9">
        <v>0.32</v>
      </c>
      <c r="AZ11" s="9">
        <v>0.20599999999999999</v>
      </c>
      <c r="BA11" s="9">
        <v>8.5500000000000007E-2</v>
      </c>
      <c r="BB11" s="9">
        <v>2.92E-2</v>
      </c>
      <c r="BC11" s="9">
        <v>2.77</v>
      </c>
      <c r="BD11" s="9"/>
      <c r="BE11" s="9">
        <v>18.7</v>
      </c>
      <c r="BF11" s="9">
        <v>12.9</v>
      </c>
      <c r="BG11" s="9">
        <v>11.3</v>
      </c>
      <c r="BH11" s="9">
        <v>1.6</v>
      </c>
      <c r="BI11" s="9"/>
      <c r="BJ11" s="9"/>
      <c r="BK11" s="9">
        <v>4.97</v>
      </c>
      <c r="BL11" s="9">
        <v>20.3</v>
      </c>
      <c r="BM11" s="9">
        <v>18.600000000000001</v>
      </c>
      <c r="BN11" s="9">
        <v>5.0799999999999998E-2</v>
      </c>
      <c r="BO11" s="9">
        <v>12.4</v>
      </c>
      <c r="BP11" s="9">
        <v>57.6</v>
      </c>
      <c r="BQ11" s="9"/>
      <c r="BR11" s="9">
        <v>0.90300000000000002</v>
      </c>
      <c r="BS11" s="9"/>
      <c r="BT11" s="9"/>
      <c r="BU11" s="9">
        <v>438</v>
      </c>
      <c r="BV11" s="9">
        <v>4.3299999999999998E-2</v>
      </c>
      <c r="BW11" s="9">
        <v>0.17499999999999999</v>
      </c>
      <c r="BX11" s="9">
        <v>0</v>
      </c>
    </row>
    <row r="12" spans="1:76" x14ac:dyDescent="0.3">
      <c r="A12" s="5" t="s">
        <v>109</v>
      </c>
      <c r="B12" s="11" t="s">
        <v>120</v>
      </c>
      <c r="C12" s="11" t="str">
        <f t="shared" si="0"/>
        <v>11,1965-1970</v>
      </c>
      <c r="D12" s="6">
        <v>4.22</v>
      </c>
      <c r="E12" s="6">
        <v>11.025</v>
      </c>
      <c r="F12" s="6">
        <v>16.600000000000001</v>
      </c>
      <c r="G12" s="6">
        <v>12.8</v>
      </c>
      <c r="H12" s="6">
        <v>6.54</v>
      </c>
      <c r="I12" s="6">
        <v>1.99</v>
      </c>
      <c r="J12" s="6">
        <v>1.22</v>
      </c>
      <c r="K12" s="6">
        <v>9.57</v>
      </c>
      <c r="L12" s="6">
        <v>3.375</v>
      </c>
      <c r="M12" s="6">
        <v>480</v>
      </c>
      <c r="N12" s="6">
        <v>240</v>
      </c>
      <c r="O12" s="6">
        <v>278</v>
      </c>
      <c r="P12" s="6">
        <v>360</v>
      </c>
      <c r="Q12" s="6">
        <v>4</v>
      </c>
      <c r="R12" s="6">
        <v>5</v>
      </c>
      <c r="S12" s="6">
        <v>240</v>
      </c>
      <c r="T12" s="6">
        <v>1800</v>
      </c>
      <c r="U12" s="6">
        <v>12</v>
      </c>
      <c r="V12" s="6">
        <v>14.805</v>
      </c>
      <c r="W12" s="6">
        <v>33.200000000000003</v>
      </c>
      <c r="X12" s="6">
        <v>33.795000000000002</v>
      </c>
      <c r="Y12" s="6">
        <v>24.434999999999999</v>
      </c>
      <c r="Z12" s="6">
        <v>1.2869999999999999</v>
      </c>
      <c r="AA12" s="6">
        <v>2.9249999999999998</v>
      </c>
      <c r="AB12" s="6">
        <v>6.66</v>
      </c>
      <c r="AC12" s="6">
        <v>1.125</v>
      </c>
      <c r="AD12" s="6">
        <v>0.64349999999999996</v>
      </c>
      <c r="AE12" s="6">
        <v>0.17977499999999999</v>
      </c>
      <c r="AF12" s="6">
        <v>5.67E-2</v>
      </c>
      <c r="AG12" s="6">
        <v>0.22275</v>
      </c>
      <c r="AH12" s="6">
        <v>0.18881999999999999</v>
      </c>
      <c r="AI12" s="6">
        <v>0</v>
      </c>
      <c r="AJ12" s="6">
        <v>0</v>
      </c>
      <c r="AK12" s="6">
        <v>0</v>
      </c>
      <c r="AL12" s="6">
        <v>0</v>
      </c>
      <c r="AM12" s="6">
        <v>2.3900000000000001E-2</v>
      </c>
      <c r="AN12" s="6">
        <v>2.3900000000000001E-2</v>
      </c>
      <c r="AO12" s="6">
        <v>0.27</v>
      </c>
      <c r="AP12" s="6">
        <v>0.185</v>
      </c>
      <c r="AQ12" s="6">
        <v>0.66</v>
      </c>
      <c r="AR12" s="6">
        <v>0.8</v>
      </c>
      <c r="AS12" s="6">
        <v>1.1000000000000001</v>
      </c>
      <c r="AT12" s="6">
        <v>0</v>
      </c>
      <c r="AU12" s="6">
        <v>1.65</v>
      </c>
      <c r="AV12" s="6">
        <v>3.3</v>
      </c>
      <c r="AW12" s="6">
        <v>3.9</v>
      </c>
      <c r="AX12" s="6">
        <v>49.1</v>
      </c>
      <c r="AY12" s="6">
        <v>0.48</v>
      </c>
      <c r="AZ12" s="6">
        <v>0.308</v>
      </c>
      <c r="BA12" s="6">
        <v>0.128</v>
      </c>
      <c r="BB12" s="6">
        <v>4.3900000000000002E-2</v>
      </c>
      <c r="BC12" s="6">
        <v>3.47</v>
      </c>
      <c r="BD12" s="6"/>
      <c r="BE12" s="6">
        <v>23.3</v>
      </c>
      <c r="BF12" s="6">
        <v>16.100000000000001</v>
      </c>
      <c r="BG12" s="6">
        <v>14.2</v>
      </c>
      <c r="BH12" s="6">
        <v>2</v>
      </c>
      <c r="BI12" s="6"/>
      <c r="BJ12" s="6"/>
      <c r="BK12" s="6">
        <v>2.4900000000000002</v>
      </c>
      <c r="BL12" s="6">
        <v>10.199999999999999</v>
      </c>
      <c r="BM12" s="6">
        <v>9.3000000000000007</v>
      </c>
      <c r="BN12" s="6">
        <v>2.5399999999999999E-2</v>
      </c>
      <c r="BO12" s="6">
        <v>13.6</v>
      </c>
      <c r="BP12" s="6">
        <v>63.4</v>
      </c>
      <c r="BQ12" s="6"/>
      <c r="BR12" s="6">
        <v>0.99299999999999999</v>
      </c>
      <c r="BS12" s="6"/>
      <c r="BT12" s="6"/>
      <c r="BU12" s="6">
        <v>462</v>
      </c>
      <c r="BV12" s="6">
        <v>7.17E-2</v>
      </c>
      <c r="BW12" s="6">
        <v>0.17499999999999999</v>
      </c>
      <c r="BX12" s="6">
        <v>0</v>
      </c>
    </row>
    <row r="13" spans="1:76" x14ac:dyDescent="0.3">
      <c r="A13" s="8" t="s">
        <v>109</v>
      </c>
      <c r="B13" s="12" t="s">
        <v>121</v>
      </c>
      <c r="C13" s="12" t="str">
        <f t="shared" si="0"/>
        <v>11,1970-1975</v>
      </c>
      <c r="D13" s="9">
        <v>4.22</v>
      </c>
      <c r="E13" s="9">
        <v>11.025</v>
      </c>
      <c r="F13" s="9">
        <v>16.600000000000001</v>
      </c>
      <c r="G13" s="9">
        <v>12.8</v>
      </c>
      <c r="H13" s="9">
        <v>6.54</v>
      </c>
      <c r="I13" s="9">
        <v>1.99</v>
      </c>
      <c r="J13" s="9">
        <v>1.22</v>
      </c>
      <c r="K13" s="9">
        <v>9.57</v>
      </c>
      <c r="L13" s="9">
        <v>3.375</v>
      </c>
      <c r="M13" s="9">
        <v>480</v>
      </c>
      <c r="N13" s="9">
        <v>240</v>
      </c>
      <c r="O13" s="9">
        <v>240</v>
      </c>
      <c r="P13" s="9">
        <v>360</v>
      </c>
      <c r="Q13" s="9">
        <v>4</v>
      </c>
      <c r="R13" s="9">
        <v>5</v>
      </c>
      <c r="S13" s="9">
        <v>240</v>
      </c>
      <c r="T13" s="9">
        <v>1800</v>
      </c>
      <c r="U13" s="9">
        <v>12</v>
      </c>
      <c r="V13" s="9">
        <v>14.805</v>
      </c>
      <c r="W13" s="9">
        <v>26.4</v>
      </c>
      <c r="X13" s="9">
        <v>33.795000000000002</v>
      </c>
      <c r="Y13" s="9">
        <v>24.434999999999999</v>
      </c>
      <c r="Z13" s="9">
        <v>1.2869999999999999</v>
      </c>
      <c r="AA13" s="9">
        <v>2.9249999999999998</v>
      </c>
      <c r="AB13" s="9">
        <v>6.66</v>
      </c>
      <c r="AC13" s="9">
        <v>1.125</v>
      </c>
      <c r="AD13" s="9">
        <v>0.64349999999999996</v>
      </c>
      <c r="AE13" s="9">
        <v>0.17977499999999999</v>
      </c>
      <c r="AF13" s="9">
        <v>5.67E-2</v>
      </c>
      <c r="AG13" s="9">
        <v>0.22275</v>
      </c>
      <c r="AH13" s="9">
        <v>0.18881999999999999</v>
      </c>
      <c r="AI13" s="9">
        <v>0.14248</v>
      </c>
      <c r="AJ13" s="9">
        <v>2.5000000000000001E-2</v>
      </c>
      <c r="AK13" s="9">
        <v>0.67884999999999995</v>
      </c>
      <c r="AL13" s="9">
        <v>10.23</v>
      </c>
      <c r="AM13" s="9">
        <v>3.9600000000000003E-2</v>
      </c>
      <c r="AN13" s="9">
        <v>3.9600000000000003E-2</v>
      </c>
      <c r="AO13" s="9">
        <v>0.35399999999999998</v>
      </c>
      <c r="AP13" s="9">
        <v>0.24299999999999999</v>
      </c>
      <c r="AQ13" s="9">
        <v>0.66</v>
      </c>
      <c r="AR13" s="9">
        <v>0.8</v>
      </c>
      <c r="AS13" s="9">
        <v>1.1000000000000001</v>
      </c>
      <c r="AT13" s="9">
        <v>0</v>
      </c>
      <c r="AU13" s="9">
        <v>1.65</v>
      </c>
      <c r="AV13" s="9">
        <v>3.3</v>
      </c>
      <c r="AW13" s="9">
        <v>5.2</v>
      </c>
      <c r="AX13" s="9">
        <v>65.5</v>
      </c>
      <c r="AY13" s="9">
        <v>0.64</v>
      </c>
      <c r="AZ13" s="9">
        <v>0.41099999999999998</v>
      </c>
      <c r="BA13" s="9">
        <v>0.17100000000000001</v>
      </c>
      <c r="BB13" s="9">
        <v>5.8500000000000003E-2</v>
      </c>
      <c r="BC13" s="9">
        <v>4.16</v>
      </c>
      <c r="BD13" s="9">
        <v>0</v>
      </c>
      <c r="BE13" s="9">
        <v>28</v>
      </c>
      <c r="BF13" s="9">
        <v>19.3</v>
      </c>
      <c r="BG13" s="9">
        <v>17</v>
      </c>
      <c r="BH13" s="9">
        <v>2.4</v>
      </c>
      <c r="BI13" s="9">
        <v>0</v>
      </c>
      <c r="BJ13" s="9">
        <v>0</v>
      </c>
      <c r="BK13" s="9">
        <v>0.497</v>
      </c>
      <c r="BL13" s="9">
        <v>2.0299999999999998</v>
      </c>
      <c r="BM13" s="9">
        <v>1.86</v>
      </c>
      <c r="BN13" s="9">
        <v>5.0800000000000003E-3</v>
      </c>
      <c r="BO13" s="9">
        <v>17.8</v>
      </c>
      <c r="BP13" s="9">
        <v>83</v>
      </c>
      <c r="BQ13" s="9">
        <v>0</v>
      </c>
      <c r="BR13" s="9">
        <v>1.3</v>
      </c>
      <c r="BS13" s="9">
        <v>0</v>
      </c>
      <c r="BT13" s="9">
        <v>0</v>
      </c>
      <c r="BU13" s="9">
        <v>486</v>
      </c>
      <c r="BV13" s="9">
        <v>0.1</v>
      </c>
      <c r="BW13" s="9">
        <v>0.17499999999999999</v>
      </c>
      <c r="BX13" s="9">
        <v>0</v>
      </c>
    </row>
    <row r="14" spans="1:76" x14ac:dyDescent="0.3">
      <c r="A14" s="5" t="s">
        <v>109</v>
      </c>
      <c r="B14" s="11" t="s">
        <v>122</v>
      </c>
      <c r="C14" s="11" t="str">
        <f t="shared" si="0"/>
        <v>11,1975-1980</v>
      </c>
      <c r="D14" s="6">
        <v>4.2</v>
      </c>
      <c r="E14" s="6">
        <v>11.025</v>
      </c>
      <c r="F14" s="6">
        <v>17.100000000000001</v>
      </c>
      <c r="G14" s="6">
        <v>13.4</v>
      </c>
      <c r="H14" s="6">
        <v>4.8</v>
      </c>
      <c r="I14" s="6">
        <v>2.15</v>
      </c>
      <c r="J14" s="6">
        <v>1.28</v>
      </c>
      <c r="K14" s="6">
        <v>8.4700000000000006</v>
      </c>
      <c r="L14" s="6">
        <v>3.375</v>
      </c>
      <c r="M14" s="6">
        <v>480</v>
      </c>
      <c r="N14" s="6">
        <v>192</v>
      </c>
      <c r="O14" s="6">
        <v>240</v>
      </c>
      <c r="P14" s="6">
        <v>360</v>
      </c>
      <c r="Q14" s="6">
        <v>4</v>
      </c>
      <c r="R14" s="6">
        <v>5</v>
      </c>
      <c r="S14" s="6">
        <v>240</v>
      </c>
      <c r="T14" s="6">
        <v>1800</v>
      </c>
      <c r="U14" s="6">
        <v>12</v>
      </c>
      <c r="V14" s="6">
        <v>14.805</v>
      </c>
      <c r="W14" s="6">
        <v>26.4</v>
      </c>
      <c r="X14" s="6">
        <v>33.795000000000002</v>
      </c>
      <c r="Y14" s="6">
        <v>24.434999999999999</v>
      </c>
      <c r="Z14" s="6">
        <v>1.2869999999999999</v>
      </c>
      <c r="AA14" s="6">
        <v>2.9249999999999998</v>
      </c>
      <c r="AB14" s="6">
        <v>6.66</v>
      </c>
      <c r="AC14" s="6">
        <v>1.125</v>
      </c>
      <c r="AD14" s="6">
        <v>0.64349999999999996</v>
      </c>
      <c r="AE14" s="6">
        <v>0.17977499999999999</v>
      </c>
      <c r="AF14" s="6">
        <v>5.67E-2</v>
      </c>
      <c r="AG14" s="6">
        <v>0.22275</v>
      </c>
      <c r="AH14" s="6">
        <v>0.18881999999999999</v>
      </c>
      <c r="AI14" s="6">
        <v>0.14248</v>
      </c>
      <c r="AJ14" s="6">
        <v>2.5000000000000001E-2</v>
      </c>
      <c r="AK14" s="6">
        <v>0.67884999999999995</v>
      </c>
      <c r="AL14" s="6">
        <v>10.23</v>
      </c>
      <c r="AM14" s="6">
        <v>5.5399999999999998E-2</v>
      </c>
      <c r="AN14" s="6">
        <v>5.5399999999999998E-2</v>
      </c>
      <c r="AO14" s="6">
        <v>0.438</v>
      </c>
      <c r="AP14" s="6">
        <v>0.3</v>
      </c>
      <c r="AQ14" s="6">
        <v>0.66</v>
      </c>
      <c r="AR14" s="6">
        <v>0</v>
      </c>
      <c r="AS14" s="6">
        <v>1.1000000000000001</v>
      </c>
      <c r="AT14" s="6">
        <v>0</v>
      </c>
      <c r="AU14" s="6">
        <v>1.65</v>
      </c>
      <c r="AV14" s="6">
        <v>3.3</v>
      </c>
      <c r="AW14" s="6">
        <v>5.64</v>
      </c>
      <c r="AX14" s="6">
        <v>78.900000000000006</v>
      </c>
      <c r="AY14" s="6">
        <v>0.628</v>
      </c>
      <c r="AZ14" s="6">
        <v>0.44500000000000001</v>
      </c>
      <c r="BA14" s="6">
        <v>0.126</v>
      </c>
      <c r="BB14" s="6">
        <v>6.1199999999999997E-2</v>
      </c>
      <c r="BC14" s="6">
        <v>4.51</v>
      </c>
      <c r="BD14" s="6">
        <v>0</v>
      </c>
      <c r="BE14" s="6">
        <v>27.5</v>
      </c>
      <c r="BF14" s="6">
        <v>20.9</v>
      </c>
      <c r="BG14" s="6">
        <v>12.5</v>
      </c>
      <c r="BH14" s="6">
        <v>3.16</v>
      </c>
      <c r="BI14" s="6">
        <v>0</v>
      </c>
      <c r="BJ14" s="6">
        <v>0</v>
      </c>
      <c r="BK14" s="6">
        <v>1.1000000000000001</v>
      </c>
      <c r="BL14" s="6">
        <v>3.71</v>
      </c>
      <c r="BM14" s="6">
        <v>3.07</v>
      </c>
      <c r="BN14" s="6">
        <v>1.18E-2</v>
      </c>
      <c r="BO14" s="6">
        <v>24.3</v>
      </c>
      <c r="BP14" s="6">
        <v>100</v>
      </c>
      <c r="BQ14" s="6">
        <v>0</v>
      </c>
      <c r="BR14" s="6">
        <v>1.41</v>
      </c>
      <c r="BS14" s="6">
        <v>0</v>
      </c>
      <c r="BT14" s="6">
        <v>0</v>
      </c>
      <c r="BU14" s="6">
        <v>510</v>
      </c>
      <c r="BV14" s="6">
        <v>0.128</v>
      </c>
      <c r="BW14" s="6">
        <v>0.17499999999999999</v>
      </c>
      <c r="BX14" s="6">
        <v>0.03</v>
      </c>
    </row>
    <row r="15" spans="1:76" x14ac:dyDescent="0.3">
      <c r="A15" s="8" t="s">
        <v>109</v>
      </c>
      <c r="B15" s="12" t="s">
        <v>123</v>
      </c>
      <c r="C15" s="12" t="str">
        <f t="shared" si="0"/>
        <v>11,1980-1985</v>
      </c>
      <c r="D15" s="9">
        <v>3.06</v>
      </c>
      <c r="E15" s="9">
        <v>11.025</v>
      </c>
      <c r="F15" s="9">
        <v>20</v>
      </c>
      <c r="G15" s="9">
        <v>14.2</v>
      </c>
      <c r="H15" s="9">
        <v>5.26</v>
      </c>
      <c r="I15" s="9">
        <v>2.2999999999999998</v>
      </c>
      <c r="J15" s="9">
        <v>1.4</v>
      </c>
      <c r="K15" s="9">
        <v>7.79</v>
      </c>
      <c r="L15" s="9">
        <v>3.375</v>
      </c>
      <c r="M15" s="9">
        <v>480</v>
      </c>
      <c r="N15" s="9">
        <v>192</v>
      </c>
      <c r="O15" s="9">
        <v>240</v>
      </c>
      <c r="P15" s="9">
        <v>360</v>
      </c>
      <c r="Q15" s="9">
        <v>4</v>
      </c>
      <c r="R15" s="9">
        <v>5</v>
      </c>
      <c r="S15" s="9">
        <v>240</v>
      </c>
      <c r="T15" s="9">
        <v>1800</v>
      </c>
      <c r="U15" s="9">
        <v>12</v>
      </c>
      <c r="V15" s="9">
        <v>14.805</v>
      </c>
      <c r="W15" s="9">
        <v>26.4</v>
      </c>
      <c r="X15" s="9">
        <v>33.795000000000002</v>
      </c>
      <c r="Y15" s="9">
        <v>24.434999999999999</v>
      </c>
      <c r="Z15" s="9">
        <v>1.2869999999999999</v>
      </c>
      <c r="AA15" s="9">
        <v>2.9249999999999998</v>
      </c>
      <c r="AB15" s="9">
        <v>6.66</v>
      </c>
      <c r="AC15" s="9">
        <v>1.125</v>
      </c>
      <c r="AD15" s="9">
        <v>0.64349999999999996</v>
      </c>
      <c r="AE15" s="9">
        <v>0.17977499999999999</v>
      </c>
      <c r="AF15" s="9">
        <v>5.67E-2</v>
      </c>
      <c r="AG15" s="9">
        <v>0.22275</v>
      </c>
      <c r="AH15" s="9">
        <v>0.18881999999999999</v>
      </c>
      <c r="AI15" s="9">
        <v>0.14248</v>
      </c>
      <c r="AJ15" s="9">
        <v>2.5000000000000001E-2</v>
      </c>
      <c r="AK15" s="9">
        <v>0.67884999999999995</v>
      </c>
      <c r="AL15" s="9">
        <v>10.23</v>
      </c>
      <c r="AM15" s="9">
        <v>7.1099999999999997E-2</v>
      </c>
      <c r="AN15" s="9">
        <v>7.1099999999999997E-2</v>
      </c>
      <c r="AO15" s="9">
        <v>0.52200000000000002</v>
      </c>
      <c r="AP15" s="9">
        <v>0.35799999999999998</v>
      </c>
      <c r="AQ15" s="9">
        <v>0.66</v>
      </c>
      <c r="AR15" s="9">
        <v>0</v>
      </c>
      <c r="AS15" s="9">
        <v>1.65</v>
      </c>
      <c r="AT15" s="9">
        <v>0</v>
      </c>
      <c r="AU15" s="9">
        <v>1.65</v>
      </c>
      <c r="AV15" s="9">
        <v>6.6</v>
      </c>
      <c r="AW15" s="9">
        <v>6.01</v>
      </c>
      <c r="AX15" s="9">
        <v>67.400000000000006</v>
      </c>
      <c r="AY15" s="9">
        <v>0.69699999999999995</v>
      </c>
      <c r="AZ15" s="9">
        <v>0.47599999999999998</v>
      </c>
      <c r="BA15" s="9">
        <v>0.13800000000000001</v>
      </c>
      <c r="BB15" s="9">
        <v>6.4600000000000005E-2</v>
      </c>
      <c r="BC15" s="9">
        <v>4.8099999999999996</v>
      </c>
      <c r="BD15" s="9">
        <v>0</v>
      </c>
      <c r="BE15" s="9">
        <v>30.5</v>
      </c>
      <c r="BF15" s="9">
        <v>22.3</v>
      </c>
      <c r="BG15" s="9">
        <v>13.7</v>
      </c>
      <c r="BH15" s="9">
        <v>3.83</v>
      </c>
      <c r="BI15" s="9">
        <v>0</v>
      </c>
      <c r="BJ15" s="9">
        <v>0</v>
      </c>
      <c r="BK15" s="9">
        <v>1.69</v>
      </c>
      <c r="BL15" s="9">
        <v>5.0999999999999996</v>
      </c>
      <c r="BM15" s="9">
        <v>4.67</v>
      </c>
      <c r="BN15" s="9">
        <v>1.7399999999999999E-2</v>
      </c>
      <c r="BO15" s="9">
        <v>29.7</v>
      </c>
      <c r="BP15" s="9">
        <v>85.4</v>
      </c>
      <c r="BQ15" s="9">
        <v>0</v>
      </c>
      <c r="BR15" s="9">
        <v>1.5</v>
      </c>
      <c r="BS15" s="9">
        <v>0</v>
      </c>
      <c r="BT15" s="9">
        <v>0</v>
      </c>
      <c r="BU15" s="9">
        <v>510</v>
      </c>
      <c r="BV15" s="9">
        <v>0.157</v>
      </c>
      <c r="BW15" s="9">
        <v>0.17499999999999999</v>
      </c>
      <c r="BX15" s="9">
        <v>0.06</v>
      </c>
    </row>
    <row r="16" spans="1:76" x14ac:dyDescent="0.3">
      <c r="A16" s="5" t="s">
        <v>109</v>
      </c>
      <c r="B16" s="11" t="s">
        <v>124</v>
      </c>
      <c r="C16" s="11" t="str">
        <f t="shared" si="0"/>
        <v>11,1985-1990</v>
      </c>
      <c r="D16" s="6">
        <v>2.6</v>
      </c>
      <c r="E16" s="6">
        <v>6.93</v>
      </c>
      <c r="F16" s="6">
        <v>24.2</v>
      </c>
      <c r="G16" s="6">
        <v>18</v>
      </c>
      <c r="H16" s="6">
        <v>6.62</v>
      </c>
      <c r="I16" s="6">
        <v>2.94</v>
      </c>
      <c r="J16" s="6">
        <v>1.81</v>
      </c>
      <c r="K16" s="6">
        <v>8.0299999999999994</v>
      </c>
      <c r="L16" s="6">
        <v>3.375</v>
      </c>
      <c r="M16" s="6">
        <v>480</v>
      </c>
      <c r="N16" s="6">
        <v>192</v>
      </c>
      <c r="O16" s="6">
        <v>240</v>
      </c>
      <c r="P16" s="6">
        <v>360</v>
      </c>
      <c r="Q16" s="6">
        <v>4</v>
      </c>
      <c r="R16" s="6">
        <v>5</v>
      </c>
      <c r="S16" s="6">
        <v>240</v>
      </c>
      <c r="T16" s="6">
        <v>1800</v>
      </c>
      <c r="U16" s="6">
        <v>12</v>
      </c>
      <c r="V16" s="6">
        <v>14.805</v>
      </c>
      <c r="W16" s="6">
        <v>26.4</v>
      </c>
      <c r="X16" s="6">
        <v>33.795000000000002</v>
      </c>
      <c r="Y16" s="6">
        <v>24.434999999999999</v>
      </c>
      <c r="Z16" s="6">
        <v>1.2869999999999999</v>
      </c>
      <c r="AA16" s="6">
        <v>2.9249999999999998</v>
      </c>
      <c r="AB16" s="6">
        <v>6.66</v>
      </c>
      <c r="AC16" s="6">
        <v>1.125</v>
      </c>
      <c r="AD16" s="6">
        <v>0.64349999999999996</v>
      </c>
      <c r="AE16" s="6">
        <v>0.17977499999999999</v>
      </c>
      <c r="AF16" s="6">
        <v>5.67E-2</v>
      </c>
      <c r="AG16" s="6">
        <v>0.22275</v>
      </c>
      <c r="AH16" s="6">
        <v>0.18881999999999999</v>
      </c>
      <c r="AI16" s="6">
        <v>0.14248</v>
      </c>
      <c r="AJ16" s="6">
        <v>2.5000000000000001E-2</v>
      </c>
      <c r="AK16" s="6">
        <v>0.67884999999999995</v>
      </c>
      <c r="AL16" s="6">
        <v>10.23</v>
      </c>
      <c r="AM16" s="6">
        <v>8.6900000000000005E-2</v>
      </c>
      <c r="AN16" s="6">
        <v>8.6900000000000005E-2</v>
      </c>
      <c r="AO16" s="6">
        <v>0.60599999999999998</v>
      </c>
      <c r="AP16" s="6">
        <v>0.41599999999999998</v>
      </c>
      <c r="AQ16" s="6">
        <v>0</v>
      </c>
      <c r="AR16" s="6">
        <v>0</v>
      </c>
      <c r="AS16" s="6">
        <v>1.65</v>
      </c>
      <c r="AT16" s="6">
        <v>0</v>
      </c>
      <c r="AU16" s="6">
        <v>1.65</v>
      </c>
      <c r="AV16" s="6">
        <v>6.6</v>
      </c>
      <c r="AW16" s="6">
        <v>7.66</v>
      </c>
      <c r="AX16" s="6">
        <v>66.7</v>
      </c>
      <c r="AY16" s="6">
        <v>0.91600000000000004</v>
      </c>
      <c r="AZ16" s="6">
        <v>0.60799999999999998</v>
      </c>
      <c r="BA16" s="6">
        <v>0.17399999999999999</v>
      </c>
      <c r="BB16" s="6">
        <v>8.1900000000000001E-2</v>
      </c>
      <c r="BC16" s="6">
        <v>6.13</v>
      </c>
      <c r="BD16" s="6">
        <v>0</v>
      </c>
      <c r="BE16" s="6">
        <v>40.1</v>
      </c>
      <c r="BF16" s="6">
        <v>28.5</v>
      </c>
      <c r="BG16" s="6">
        <v>17.3</v>
      </c>
      <c r="BH16" s="6">
        <v>5.33</v>
      </c>
      <c r="BI16" s="6">
        <v>0</v>
      </c>
      <c r="BJ16" s="6">
        <v>0</v>
      </c>
      <c r="BK16" s="6">
        <v>2.7</v>
      </c>
      <c r="BL16" s="6">
        <v>7.61</v>
      </c>
      <c r="BM16" s="6">
        <v>7.16</v>
      </c>
      <c r="BN16" s="6">
        <v>2.69E-2</v>
      </c>
      <c r="BO16" s="6">
        <v>41.6</v>
      </c>
      <c r="BP16" s="6">
        <v>84.5</v>
      </c>
      <c r="BQ16" s="6">
        <v>0</v>
      </c>
      <c r="BR16" s="6">
        <v>1.92</v>
      </c>
      <c r="BS16" s="6">
        <v>0</v>
      </c>
      <c r="BT16" s="6">
        <v>0</v>
      </c>
      <c r="BU16" s="6">
        <v>510</v>
      </c>
      <c r="BV16" s="6">
        <v>0.185</v>
      </c>
      <c r="BW16" s="6">
        <v>0.17499999999999999</v>
      </c>
      <c r="BX16" s="6">
        <v>0.09</v>
      </c>
    </row>
    <row r="17" spans="1:76" x14ac:dyDescent="0.3">
      <c r="A17" s="8" t="s">
        <v>109</v>
      </c>
      <c r="B17" s="12" t="s">
        <v>125</v>
      </c>
      <c r="C17" s="12" t="str">
        <f t="shared" si="0"/>
        <v>11,1990-1995</v>
      </c>
      <c r="D17" s="9">
        <v>2.59</v>
      </c>
      <c r="E17" s="9">
        <v>6.93</v>
      </c>
      <c r="F17" s="9">
        <v>19.899999999999999</v>
      </c>
      <c r="G17" s="9">
        <v>14.6</v>
      </c>
      <c r="H17" s="9">
        <v>4.08</v>
      </c>
      <c r="I17" s="9">
        <v>2.4900000000000002</v>
      </c>
      <c r="J17" s="9">
        <v>1.49</v>
      </c>
      <c r="K17" s="9">
        <v>6.25</v>
      </c>
      <c r="L17" s="9">
        <v>3.375</v>
      </c>
      <c r="M17" s="9">
        <v>480</v>
      </c>
      <c r="N17" s="9">
        <v>192</v>
      </c>
      <c r="O17" s="9">
        <v>240</v>
      </c>
      <c r="P17" s="9">
        <v>360</v>
      </c>
      <c r="Q17" s="9">
        <v>4</v>
      </c>
      <c r="R17" s="9">
        <v>5</v>
      </c>
      <c r="S17" s="9">
        <v>240</v>
      </c>
      <c r="T17" s="9">
        <v>1800</v>
      </c>
      <c r="U17" s="9">
        <v>12</v>
      </c>
      <c r="V17" s="9">
        <v>14.805</v>
      </c>
      <c r="W17" s="9">
        <v>26.4</v>
      </c>
      <c r="X17" s="9">
        <v>33.795000000000002</v>
      </c>
      <c r="Y17" s="9">
        <v>24.434999999999999</v>
      </c>
      <c r="Z17" s="9">
        <v>1.2869999999999999</v>
      </c>
      <c r="AA17" s="9">
        <v>2.9249999999999998</v>
      </c>
      <c r="AB17" s="9">
        <v>6.66</v>
      </c>
      <c r="AC17" s="9">
        <v>1.125</v>
      </c>
      <c r="AD17" s="9">
        <v>0.64349999999999996</v>
      </c>
      <c r="AE17" s="9">
        <v>0.17977499999999999</v>
      </c>
      <c r="AF17" s="9">
        <v>5.67E-2</v>
      </c>
      <c r="AG17" s="9">
        <v>0.22275</v>
      </c>
      <c r="AH17" s="9">
        <v>0.18881999999999999</v>
      </c>
      <c r="AI17" s="9">
        <v>0.14248</v>
      </c>
      <c r="AJ17" s="9">
        <v>2.5000000000000001E-2</v>
      </c>
      <c r="AK17" s="9">
        <v>0.67884999999999995</v>
      </c>
      <c r="AL17" s="9">
        <v>10.23</v>
      </c>
      <c r="AM17" s="9">
        <v>0.10299999999999999</v>
      </c>
      <c r="AN17" s="9">
        <v>0.10299999999999999</v>
      </c>
      <c r="AO17" s="9">
        <v>0.69</v>
      </c>
      <c r="AP17" s="9">
        <v>0.47299999999999998</v>
      </c>
      <c r="AQ17" s="9">
        <v>0</v>
      </c>
      <c r="AR17" s="9">
        <v>0</v>
      </c>
      <c r="AS17" s="9">
        <v>2.2000000000000002</v>
      </c>
      <c r="AT17" s="9">
        <v>0.9</v>
      </c>
      <c r="AU17" s="9">
        <v>2.2000000000000002</v>
      </c>
      <c r="AV17" s="9">
        <v>6.6</v>
      </c>
      <c r="AW17" s="9">
        <v>5.82</v>
      </c>
      <c r="AX17" s="9">
        <v>62.5</v>
      </c>
      <c r="AY17" s="9">
        <v>0.66500000000000004</v>
      </c>
      <c r="AZ17" s="9">
        <v>0.46200000000000002</v>
      </c>
      <c r="BA17" s="9">
        <v>9.6299999999999997E-2</v>
      </c>
      <c r="BB17" s="9">
        <v>5.9900000000000002E-2</v>
      </c>
      <c r="BC17" s="9">
        <v>4.66</v>
      </c>
      <c r="BD17" s="9">
        <v>0</v>
      </c>
      <c r="BE17" s="9">
        <v>29.1</v>
      </c>
      <c r="BF17" s="9">
        <v>21.7</v>
      </c>
      <c r="BG17" s="9">
        <v>9.5399999999999991</v>
      </c>
      <c r="BH17" s="9">
        <v>4.05</v>
      </c>
      <c r="BI17" s="9">
        <v>0</v>
      </c>
      <c r="BJ17" s="9">
        <v>0</v>
      </c>
      <c r="BK17" s="9">
        <v>2.35</v>
      </c>
      <c r="BL17" s="9">
        <v>6.19</v>
      </c>
      <c r="BM17" s="9">
        <v>4.1900000000000004</v>
      </c>
      <c r="BN17" s="9">
        <v>1.6E-2</v>
      </c>
      <c r="BO17" s="9">
        <v>33</v>
      </c>
      <c r="BP17" s="9">
        <v>76.900000000000006</v>
      </c>
      <c r="BQ17" s="9">
        <v>0</v>
      </c>
      <c r="BR17" s="9">
        <v>1.41</v>
      </c>
      <c r="BS17" s="9">
        <v>0</v>
      </c>
      <c r="BT17" s="9">
        <v>0</v>
      </c>
      <c r="BU17" s="9">
        <v>510</v>
      </c>
      <c r="BV17" s="9">
        <v>0.185</v>
      </c>
      <c r="BW17" s="9">
        <v>8.7499999999999994E-2</v>
      </c>
      <c r="BX17" s="9">
        <v>0.12</v>
      </c>
    </row>
    <row r="18" spans="1:76" x14ac:dyDescent="0.3">
      <c r="A18" s="5" t="s">
        <v>109</v>
      </c>
      <c r="B18" s="11" t="s">
        <v>126</v>
      </c>
      <c r="C18" s="11" t="str">
        <f t="shared" si="0"/>
        <v>11,1995-2000</v>
      </c>
      <c r="D18" s="6">
        <v>1.92</v>
      </c>
      <c r="E18" s="6">
        <v>6.93</v>
      </c>
      <c r="F18" s="6">
        <v>24.4</v>
      </c>
      <c r="G18" s="6">
        <v>17.399999999999999</v>
      </c>
      <c r="H18" s="6">
        <v>3.08</v>
      </c>
      <c r="I18" s="6">
        <v>3.2</v>
      </c>
      <c r="J18" s="6">
        <v>1.8</v>
      </c>
      <c r="K18" s="6">
        <v>9.01</v>
      </c>
      <c r="L18" s="6">
        <v>3.375</v>
      </c>
      <c r="M18" s="6">
        <v>480</v>
      </c>
      <c r="N18" s="6">
        <v>192</v>
      </c>
      <c r="O18" s="6">
        <v>240</v>
      </c>
      <c r="P18" s="6">
        <v>360</v>
      </c>
      <c r="Q18" s="6">
        <v>4</v>
      </c>
      <c r="R18" s="6">
        <v>5</v>
      </c>
      <c r="S18" s="6">
        <v>240</v>
      </c>
      <c r="T18" s="6">
        <v>1800</v>
      </c>
      <c r="U18" s="6">
        <v>12</v>
      </c>
      <c r="V18" s="6">
        <v>14.805</v>
      </c>
      <c r="W18" s="6">
        <v>26.4</v>
      </c>
      <c r="X18" s="6">
        <v>33.795000000000002</v>
      </c>
      <c r="Y18" s="6">
        <v>24.434999999999999</v>
      </c>
      <c r="Z18" s="6">
        <v>1.2869999999999999</v>
      </c>
      <c r="AA18" s="6">
        <v>2.9249999999999998</v>
      </c>
      <c r="AB18" s="6">
        <v>6.66</v>
      </c>
      <c r="AC18" s="6">
        <v>1.125</v>
      </c>
      <c r="AD18" s="6">
        <v>0.64349999999999996</v>
      </c>
      <c r="AE18" s="6">
        <v>0.17977499999999999</v>
      </c>
      <c r="AF18" s="6">
        <v>5.67E-2</v>
      </c>
      <c r="AG18" s="6">
        <v>0.22275</v>
      </c>
      <c r="AH18" s="6">
        <v>0.18881999999999999</v>
      </c>
      <c r="AI18" s="6">
        <v>0.14248</v>
      </c>
      <c r="AJ18" s="6">
        <v>2.5000000000000001E-2</v>
      </c>
      <c r="AK18" s="6">
        <v>0.67884999999999995</v>
      </c>
      <c r="AL18" s="6">
        <v>10.23</v>
      </c>
      <c r="AM18" s="6">
        <v>0.11799999999999999</v>
      </c>
      <c r="AN18" s="6">
        <v>0.11799999999999999</v>
      </c>
      <c r="AO18" s="6">
        <v>0.77400000000000002</v>
      </c>
      <c r="AP18" s="6">
        <v>0.53100000000000003</v>
      </c>
      <c r="AQ18" s="6">
        <v>0</v>
      </c>
      <c r="AR18" s="6">
        <v>0</v>
      </c>
      <c r="AS18" s="6">
        <v>2.2000000000000002</v>
      </c>
      <c r="AT18" s="6">
        <v>0.9</v>
      </c>
      <c r="AU18" s="6">
        <v>2.2000000000000002</v>
      </c>
      <c r="AV18" s="6">
        <v>6.6</v>
      </c>
      <c r="AW18" s="6">
        <v>5.8</v>
      </c>
      <c r="AX18" s="6">
        <v>36</v>
      </c>
      <c r="AY18" s="6">
        <v>0.61199999999999999</v>
      </c>
      <c r="AZ18" s="6">
        <v>0.48199999999999998</v>
      </c>
      <c r="BA18" s="6">
        <v>5.6000000000000001E-2</v>
      </c>
      <c r="BB18" s="6">
        <v>5.79E-2</v>
      </c>
      <c r="BC18" s="6">
        <v>4.54</v>
      </c>
      <c r="BD18" s="6">
        <v>0</v>
      </c>
      <c r="BE18" s="6">
        <v>25.9</v>
      </c>
      <c r="BF18" s="6">
        <v>21.6</v>
      </c>
      <c r="BG18" s="6">
        <v>5.5</v>
      </c>
      <c r="BH18" s="6">
        <v>3.7</v>
      </c>
      <c r="BI18" s="6">
        <v>0</v>
      </c>
      <c r="BJ18" s="6">
        <v>0</v>
      </c>
      <c r="BK18" s="6">
        <v>3.02</v>
      </c>
      <c r="BL18" s="6">
        <v>6.26</v>
      </c>
      <c r="BM18" s="6">
        <v>2.29</v>
      </c>
      <c r="BN18" s="6">
        <v>0</v>
      </c>
      <c r="BO18" s="6">
        <v>33.799999999999997</v>
      </c>
      <c r="BP18" s="6">
        <v>41</v>
      </c>
      <c r="BQ18" s="6">
        <v>0</v>
      </c>
      <c r="BR18" s="6">
        <v>1.31</v>
      </c>
      <c r="BS18" s="6">
        <v>0</v>
      </c>
      <c r="BT18" s="6">
        <v>0</v>
      </c>
      <c r="BU18" s="6">
        <v>510</v>
      </c>
      <c r="BV18" s="6">
        <v>0.185</v>
      </c>
      <c r="BW18" s="6">
        <v>8.7499999999999994E-2</v>
      </c>
      <c r="BX18" s="6">
        <v>0.12</v>
      </c>
    </row>
    <row r="19" spans="1:76" x14ac:dyDescent="0.3">
      <c r="A19" s="8" t="s">
        <v>109</v>
      </c>
      <c r="B19" s="12" t="s">
        <v>127</v>
      </c>
      <c r="C19" s="12" t="str">
        <f t="shared" si="0"/>
        <v>11,2000-2005</v>
      </c>
      <c r="D19" s="9">
        <v>1.88</v>
      </c>
      <c r="E19" s="9">
        <v>6.93</v>
      </c>
      <c r="F19" s="9">
        <v>18.5</v>
      </c>
      <c r="G19" s="9">
        <v>14.3</v>
      </c>
      <c r="H19" s="9">
        <v>2.1800000000000002</v>
      </c>
      <c r="I19" s="9">
        <v>2.79</v>
      </c>
      <c r="J19" s="9">
        <v>1.5</v>
      </c>
      <c r="K19" s="9">
        <v>9.08</v>
      </c>
      <c r="L19" s="9">
        <v>3.375</v>
      </c>
      <c r="M19" s="9">
        <v>480</v>
      </c>
      <c r="N19" s="9">
        <v>168</v>
      </c>
      <c r="O19" s="9">
        <v>240</v>
      </c>
      <c r="P19" s="9">
        <v>360</v>
      </c>
      <c r="Q19" s="9">
        <v>4</v>
      </c>
      <c r="R19" s="9">
        <v>5</v>
      </c>
      <c r="S19" s="9">
        <v>240</v>
      </c>
      <c r="T19" s="9">
        <v>1800</v>
      </c>
      <c r="U19" s="9">
        <v>12</v>
      </c>
      <c r="V19" s="9">
        <v>14.805</v>
      </c>
      <c r="W19" s="9">
        <v>26.4</v>
      </c>
      <c r="X19" s="9">
        <v>33.795000000000002</v>
      </c>
      <c r="Y19" s="9">
        <v>24.434999999999999</v>
      </c>
      <c r="Z19" s="9">
        <v>1.2869999999999999</v>
      </c>
      <c r="AA19" s="9">
        <v>2.9249999999999998</v>
      </c>
      <c r="AB19" s="9">
        <v>6.66</v>
      </c>
      <c r="AC19" s="9">
        <v>1.125</v>
      </c>
      <c r="AD19" s="9">
        <v>0.64349999999999996</v>
      </c>
      <c r="AE19" s="9">
        <v>0.17977499999999999</v>
      </c>
      <c r="AF19" s="9">
        <v>5.67E-2</v>
      </c>
      <c r="AG19" s="9">
        <v>0.22275</v>
      </c>
      <c r="AH19" s="9">
        <v>0.18881999999999999</v>
      </c>
      <c r="AI19" s="9">
        <v>0.14248</v>
      </c>
      <c r="AJ19" s="9">
        <v>2.5000000000000001E-2</v>
      </c>
      <c r="AK19" s="9">
        <v>0.67884999999999995</v>
      </c>
      <c r="AL19" s="9">
        <v>10.23</v>
      </c>
      <c r="AM19" s="9">
        <v>0.13400000000000001</v>
      </c>
      <c r="AN19" s="9">
        <v>0.13400000000000001</v>
      </c>
      <c r="AO19" s="9">
        <v>0.85799999999999998</v>
      </c>
      <c r="AP19" s="9">
        <v>0.58799999999999997</v>
      </c>
      <c r="AQ19" s="9">
        <v>0</v>
      </c>
      <c r="AR19" s="9">
        <v>0</v>
      </c>
      <c r="AS19" s="9">
        <v>2.2000000000000002</v>
      </c>
      <c r="AT19" s="9">
        <v>0.9</v>
      </c>
      <c r="AU19" s="9">
        <v>2.2000000000000002</v>
      </c>
      <c r="AV19" s="9">
        <v>6.6</v>
      </c>
      <c r="AW19" s="9">
        <v>6.3</v>
      </c>
      <c r="AX19" s="9">
        <v>44.6</v>
      </c>
      <c r="AY19" s="9">
        <v>0.625</v>
      </c>
      <c r="AZ19" s="9">
        <v>0.55600000000000005</v>
      </c>
      <c r="BA19" s="9">
        <v>4.9399999999999999E-2</v>
      </c>
      <c r="BB19" s="9">
        <v>6.2899999999999998E-2</v>
      </c>
      <c r="BC19" s="9">
        <v>5.0199999999999996</v>
      </c>
      <c r="BD19" s="9">
        <v>0</v>
      </c>
      <c r="BE19" s="9">
        <v>26.2</v>
      </c>
      <c r="BF19" s="9">
        <v>25.8</v>
      </c>
      <c r="BG19" s="9">
        <v>4.91</v>
      </c>
      <c r="BH19" s="9">
        <v>3.82</v>
      </c>
      <c r="BI19" s="9">
        <v>0</v>
      </c>
      <c r="BJ19" s="9">
        <v>0</v>
      </c>
      <c r="BK19" s="9">
        <v>3.96</v>
      </c>
      <c r="BL19" s="9">
        <v>7.84</v>
      </c>
      <c r="BM19" s="9">
        <v>2.33</v>
      </c>
      <c r="BN19" s="9">
        <v>0</v>
      </c>
      <c r="BO19" s="9">
        <v>36.700000000000003</v>
      </c>
      <c r="BP19" s="9">
        <v>50.7</v>
      </c>
      <c r="BQ19" s="9">
        <v>0</v>
      </c>
      <c r="BR19" s="9">
        <v>1.42</v>
      </c>
      <c r="BS19" s="9">
        <v>0</v>
      </c>
      <c r="BT19" s="9">
        <v>0</v>
      </c>
      <c r="BU19" s="9">
        <v>510</v>
      </c>
      <c r="BV19" s="9">
        <v>0.185</v>
      </c>
      <c r="BW19" s="9">
        <v>8.7499999999999994E-2</v>
      </c>
      <c r="BX19" s="9">
        <v>0.12</v>
      </c>
    </row>
    <row r="20" spans="1:76" x14ac:dyDescent="0.3">
      <c r="A20" s="5" t="s">
        <v>109</v>
      </c>
      <c r="B20" s="11" t="s">
        <v>128</v>
      </c>
      <c r="C20" s="11" t="str">
        <f t="shared" si="0"/>
        <v>11,2005-2010</v>
      </c>
      <c r="D20" s="6">
        <v>2.39</v>
      </c>
      <c r="E20" s="6">
        <v>6.93</v>
      </c>
      <c r="F20" s="6">
        <v>16.600000000000001</v>
      </c>
      <c r="G20" s="6">
        <v>12.6</v>
      </c>
      <c r="H20" s="6">
        <v>1.93</v>
      </c>
      <c r="I20" s="6">
        <v>2.54</v>
      </c>
      <c r="J20" s="6">
        <v>1.35</v>
      </c>
      <c r="K20" s="6">
        <v>7.67</v>
      </c>
      <c r="L20" s="6">
        <v>3.375</v>
      </c>
      <c r="M20" s="6">
        <v>480</v>
      </c>
      <c r="N20" s="6">
        <v>168</v>
      </c>
      <c r="O20" s="6">
        <v>240</v>
      </c>
      <c r="P20" s="6">
        <v>360</v>
      </c>
      <c r="Q20" s="6">
        <v>4</v>
      </c>
      <c r="R20" s="6">
        <v>5</v>
      </c>
      <c r="S20" s="6">
        <v>240</v>
      </c>
      <c r="T20" s="6">
        <v>1800</v>
      </c>
      <c r="U20" s="6">
        <v>12</v>
      </c>
      <c r="V20" s="6">
        <v>14.805</v>
      </c>
      <c r="W20" s="6">
        <v>26.4</v>
      </c>
      <c r="X20" s="6">
        <v>33.795000000000002</v>
      </c>
      <c r="Y20" s="6">
        <v>24.434999999999999</v>
      </c>
      <c r="Z20" s="6">
        <v>1.2869999999999999</v>
      </c>
      <c r="AA20" s="6">
        <v>2.9249999999999998</v>
      </c>
      <c r="AB20" s="6">
        <v>6.66</v>
      </c>
      <c r="AC20" s="6">
        <v>1.125</v>
      </c>
      <c r="AD20" s="6">
        <v>0.64349999999999996</v>
      </c>
      <c r="AE20" s="6">
        <v>0.17977499999999999</v>
      </c>
      <c r="AF20" s="6">
        <v>5.67E-2</v>
      </c>
      <c r="AG20" s="6">
        <v>0.22275</v>
      </c>
      <c r="AH20" s="6">
        <v>0.18881999999999999</v>
      </c>
      <c r="AI20" s="6">
        <v>0.14248</v>
      </c>
      <c r="AJ20" s="6">
        <v>2.5000000000000001E-2</v>
      </c>
      <c r="AK20" s="6">
        <v>0.67884999999999995</v>
      </c>
      <c r="AL20" s="6">
        <v>10.23</v>
      </c>
      <c r="AM20" s="6">
        <v>0.15</v>
      </c>
      <c r="AN20" s="6">
        <v>0.15</v>
      </c>
      <c r="AO20" s="6">
        <v>0.94199999999999995</v>
      </c>
      <c r="AP20" s="6">
        <v>0.64600000000000002</v>
      </c>
      <c r="AQ20" s="6">
        <v>0</v>
      </c>
      <c r="AR20" s="6">
        <v>0</v>
      </c>
      <c r="AS20" s="6">
        <v>2.2000000000000002</v>
      </c>
      <c r="AT20" s="6">
        <v>0.9</v>
      </c>
      <c r="AU20" s="6">
        <v>2.2000000000000002</v>
      </c>
      <c r="AV20" s="6">
        <v>6.6</v>
      </c>
      <c r="AW20" s="6">
        <v>6.84</v>
      </c>
      <c r="AX20" s="6">
        <v>69.599999999999994</v>
      </c>
      <c r="AY20" s="6">
        <v>0.63600000000000001</v>
      </c>
      <c r="AZ20" s="6">
        <v>0.57699999999999996</v>
      </c>
      <c r="BA20" s="6">
        <v>5.2499999999999998E-2</v>
      </c>
      <c r="BB20" s="6">
        <v>6.3299999999999995E-2</v>
      </c>
      <c r="BC20" s="6">
        <v>5.15</v>
      </c>
      <c r="BD20" s="6">
        <v>0</v>
      </c>
      <c r="BE20" s="6">
        <v>25.9</v>
      </c>
      <c r="BF20" s="6">
        <v>27.8</v>
      </c>
      <c r="BG20" s="6">
        <v>4.8899999999999997</v>
      </c>
      <c r="BH20" s="6">
        <v>3.86</v>
      </c>
      <c r="BI20" s="6">
        <v>0</v>
      </c>
      <c r="BJ20" s="6">
        <v>0</v>
      </c>
      <c r="BK20" s="6">
        <v>4.45</v>
      </c>
      <c r="BL20" s="6">
        <v>8.61</v>
      </c>
      <c r="BM20" s="6">
        <v>2.4900000000000002</v>
      </c>
      <c r="BN20" s="6">
        <v>2.6699999999999998E-4</v>
      </c>
      <c r="BO20" s="6">
        <v>35.700000000000003</v>
      </c>
      <c r="BP20" s="6">
        <v>70.8</v>
      </c>
      <c r="BQ20" s="6">
        <v>0</v>
      </c>
      <c r="BR20" s="6">
        <v>1.37</v>
      </c>
      <c r="BS20" s="6">
        <v>0</v>
      </c>
      <c r="BT20" s="6">
        <v>0</v>
      </c>
      <c r="BU20" s="6">
        <v>510</v>
      </c>
      <c r="BV20" s="6">
        <v>0.185</v>
      </c>
      <c r="BW20" s="6">
        <v>8.7499999999999994E-2</v>
      </c>
      <c r="BX20" s="6">
        <v>0.12</v>
      </c>
    </row>
    <row r="21" spans="1:76" x14ac:dyDescent="0.3">
      <c r="A21" s="8" t="s">
        <v>109</v>
      </c>
      <c r="B21" s="12" t="s">
        <v>129</v>
      </c>
      <c r="C21" s="12" t="str">
        <f t="shared" si="0"/>
        <v>11,2010-2015</v>
      </c>
      <c r="D21" s="9">
        <v>1.95</v>
      </c>
      <c r="E21" s="9">
        <v>6.93</v>
      </c>
      <c r="F21" s="9">
        <v>16.600000000000001</v>
      </c>
      <c r="G21" s="9">
        <v>12.4</v>
      </c>
      <c r="H21" s="9">
        <v>1.86</v>
      </c>
      <c r="I21" s="9">
        <v>2.56</v>
      </c>
      <c r="J21" s="9">
        <v>1.39</v>
      </c>
      <c r="K21" s="9">
        <v>6.69</v>
      </c>
      <c r="L21" s="9">
        <v>3.375</v>
      </c>
      <c r="M21" s="9">
        <v>480</v>
      </c>
      <c r="N21" s="9">
        <v>168</v>
      </c>
      <c r="O21" s="9">
        <v>240</v>
      </c>
      <c r="P21" s="9">
        <v>360</v>
      </c>
      <c r="Q21" s="9">
        <v>4</v>
      </c>
      <c r="R21" s="9">
        <v>5</v>
      </c>
      <c r="S21" s="9">
        <v>240</v>
      </c>
      <c r="T21" s="9">
        <v>1800</v>
      </c>
      <c r="U21" s="9">
        <v>12</v>
      </c>
      <c r="V21" s="9">
        <v>14.805</v>
      </c>
      <c r="W21" s="9">
        <v>26.4</v>
      </c>
      <c r="X21" s="9">
        <v>32.67</v>
      </c>
      <c r="Y21" s="9">
        <v>24.434999999999999</v>
      </c>
      <c r="Z21" s="9">
        <v>1.3545</v>
      </c>
      <c r="AA21" s="9">
        <v>2.9249999999999998</v>
      </c>
      <c r="AB21" s="9">
        <v>6.5250000000000004</v>
      </c>
      <c r="AC21" s="9">
        <v>1.1745000000000001</v>
      </c>
      <c r="AD21" s="9">
        <v>0.64349999999999996</v>
      </c>
      <c r="AE21" s="9">
        <v>0.17977499999999999</v>
      </c>
      <c r="AF21" s="9">
        <v>5.67E-2</v>
      </c>
      <c r="AG21" s="9">
        <v>0.22320000000000001</v>
      </c>
      <c r="AH21" s="9">
        <v>0.18881999999999999</v>
      </c>
      <c r="AI21" s="9">
        <v>0.14248</v>
      </c>
      <c r="AJ21" s="9">
        <v>2.5000000000000001E-2</v>
      </c>
      <c r="AK21" s="9">
        <v>0.67884999999999995</v>
      </c>
      <c r="AL21" s="9">
        <v>10.23</v>
      </c>
      <c r="AM21" s="9">
        <v>0.16600000000000001</v>
      </c>
      <c r="AN21" s="9">
        <v>0.16600000000000001</v>
      </c>
      <c r="AO21" s="9">
        <v>1.03</v>
      </c>
      <c r="AP21" s="9">
        <v>0.70399999999999996</v>
      </c>
      <c r="AQ21" s="9">
        <v>0</v>
      </c>
      <c r="AR21" s="9">
        <v>0</v>
      </c>
      <c r="AS21" s="9">
        <v>2.2000000000000002</v>
      </c>
      <c r="AT21" s="9">
        <v>0.9</v>
      </c>
      <c r="AU21" s="9">
        <v>2.2000000000000002</v>
      </c>
      <c r="AV21" s="9">
        <v>6.6</v>
      </c>
      <c r="AW21" s="9">
        <v>8.84</v>
      </c>
      <c r="AX21" s="9">
        <v>75.5</v>
      </c>
      <c r="AY21" s="9">
        <v>0.89900000000000002</v>
      </c>
      <c r="AZ21" s="9">
        <v>0.96299999999999997</v>
      </c>
      <c r="BA21" s="9">
        <v>7.51E-2</v>
      </c>
      <c r="BB21" s="9">
        <v>0.10299999999999999</v>
      </c>
      <c r="BC21" s="9">
        <v>5.01</v>
      </c>
      <c r="BD21" s="9">
        <v>0</v>
      </c>
      <c r="BE21" s="9">
        <v>25.4</v>
      </c>
      <c r="BF21" s="9">
        <v>29.3</v>
      </c>
      <c r="BG21" s="9">
        <v>5.31</v>
      </c>
      <c r="BH21" s="9">
        <v>3.72</v>
      </c>
      <c r="BI21" s="9">
        <v>0</v>
      </c>
      <c r="BJ21" s="9">
        <v>0</v>
      </c>
      <c r="BK21" s="9">
        <v>6.32</v>
      </c>
      <c r="BL21" s="9">
        <v>10.199999999999999</v>
      </c>
      <c r="BM21" s="9">
        <v>3.81</v>
      </c>
      <c r="BN21" s="9">
        <v>1.38</v>
      </c>
      <c r="BO21" s="9">
        <v>41.2</v>
      </c>
      <c r="BP21" s="9">
        <v>68.7</v>
      </c>
      <c r="BQ21" s="9">
        <v>0</v>
      </c>
      <c r="BR21" s="9">
        <v>1.59</v>
      </c>
      <c r="BS21" s="9">
        <v>0</v>
      </c>
      <c r="BT21" s="9">
        <v>0</v>
      </c>
      <c r="BU21" s="9">
        <v>510</v>
      </c>
      <c r="BV21" s="9">
        <v>0.185</v>
      </c>
      <c r="BW21" s="9">
        <v>8.7499999999999994E-2</v>
      </c>
      <c r="BX21" s="9">
        <v>0.12</v>
      </c>
    </row>
    <row r="22" spans="1:76" x14ac:dyDescent="0.3">
      <c r="A22" s="5" t="s">
        <v>109</v>
      </c>
      <c r="B22" s="11" t="s">
        <v>130</v>
      </c>
      <c r="C22" s="11" t="str">
        <f t="shared" si="0"/>
        <v>11,2015-2020</v>
      </c>
      <c r="D22" s="6">
        <v>1.29</v>
      </c>
      <c r="E22" s="6">
        <v>6.93</v>
      </c>
      <c r="F22" s="6">
        <v>15.9</v>
      </c>
      <c r="G22" s="6">
        <v>10.9</v>
      </c>
      <c r="H22" s="6">
        <v>2.12</v>
      </c>
      <c r="I22" s="6">
        <v>2.29</v>
      </c>
      <c r="J22" s="6">
        <v>1.27</v>
      </c>
      <c r="K22" s="6">
        <v>6.06</v>
      </c>
      <c r="L22" s="6">
        <v>3.375</v>
      </c>
      <c r="M22" s="6">
        <v>480</v>
      </c>
      <c r="N22" s="6">
        <v>168</v>
      </c>
      <c r="O22" s="6">
        <v>240</v>
      </c>
      <c r="P22" s="6">
        <v>360</v>
      </c>
      <c r="Q22" s="6">
        <v>4</v>
      </c>
      <c r="R22" s="6">
        <v>5</v>
      </c>
      <c r="S22" s="6">
        <v>240</v>
      </c>
      <c r="T22" s="6">
        <v>1800</v>
      </c>
      <c r="U22" s="6">
        <v>12</v>
      </c>
      <c r="V22" s="6">
        <v>14.805</v>
      </c>
      <c r="W22" s="6">
        <v>26.4</v>
      </c>
      <c r="X22" s="6">
        <v>31.59</v>
      </c>
      <c r="Y22" s="6">
        <v>24.434999999999999</v>
      </c>
      <c r="Z22" s="6">
        <v>1.476</v>
      </c>
      <c r="AA22" s="6">
        <v>2.9249999999999998</v>
      </c>
      <c r="AB22" s="6">
        <v>6.48</v>
      </c>
      <c r="AC22" s="6">
        <v>1.2735000000000001</v>
      </c>
      <c r="AD22" s="6">
        <v>0.67049999999999998</v>
      </c>
      <c r="AE22" s="6">
        <v>0.17977499999999999</v>
      </c>
      <c r="AF22" s="6">
        <v>5.67E-2</v>
      </c>
      <c r="AG22" s="6">
        <v>0.23219999999999999</v>
      </c>
      <c r="AH22" s="6">
        <v>0.18881999999999999</v>
      </c>
      <c r="AI22" s="6">
        <v>0.14248</v>
      </c>
      <c r="AJ22" s="6">
        <v>2.5000000000000001E-2</v>
      </c>
      <c r="AK22" s="6">
        <v>0.67884999999999995</v>
      </c>
      <c r="AL22" s="6">
        <v>10.23</v>
      </c>
      <c r="AM22" s="6">
        <v>0.18099999999999999</v>
      </c>
      <c r="AN22" s="6">
        <v>0.18099999999999999</v>
      </c>
      <c r="AO22" s="6">
        <v>1.1100000000000001</v>
      </c>
      <c r="AP22" s="6">
        <v>0.76100000000000001</v>
      </c>
      <c r="AQ22" s="6">
        <v>0</v>
      </c>
      <c r="AR22" s="6">
        <v>0</v>
      </c>
      <c r="AS22" s="6">
        <v>2.2000000000000002</v>
      </c>
      <c r="AT22" s="6">
        <v>0.9</v>
      </c>
      <c r="AU22" s="6">
        <v>2.2000000000000002</v>
      </c>
      <c r="AV22" s="6">
        <v>6.6</v>
      </c>
      <c r="AW22" s="6">
        <v>8.9600000000000009</v>
      </c>
      <c r="AX22" s="6">
        <v>53.7</v>
      </c>
      <c r="AY22" s="6">
        <v>1.0900000000000001</v>
      </c>
      <c r="AZ22" s="6">
        <v>1.46</v>
      </c>
      <c r="BA22" s="6">
        <v>8.4699999999999998E-2</v>
      </c>
      <c r="BB22" s="6">
        <v>0.154</v>
      </c>
      <c r="BC22" s="6">
        <v>4.76</v>
      </c>
      <c r="BD22" s="6">
        <v>0</v>
      </c>
      <c r="BE22" s="6">
        <v>23.6</v>
      </c>
      <c r="BF22" s="6">
        <v>31</v>
      </c>
      <c r="BG22" s="6">
        <v>5.44</v>
      </c>
      <c r="BH22" s="6">
        <v>3.35</v>
      </c>
      <c r="BI22" s="6">
        <v>0</v>
      </c>
      <c r="BJ22" s="6">
        <v>0</v>
      </c>
      <c r="BK22" s="6">
        <v>6.97</v>
      </c>
      <c r="BL22" s="6">
        <v>11.7</v>
      </c>
      <c r="BM22" s="6">
        <v>4.92</v>
      </c>
      <c r="BN22" s="6">
        <v>1.79</v>
      </c>
      <c r="BO22" s="6">
        <v>47.5</v>
      </c>
      <c r="BP22" s="6">
        <v>55.5</v>
      </c>
      <c r="BQ22" s="6">
        <v>0</v>
      </c>
      <c r="BR22" s="6">
        <v>1.84</v>
      </c>
      <c r="BS22" s="6">
        <v>0</v>
      </c>
      <c r="BT22" s="6">
        <v>0</v>
      </c>
      <c r="BU22" s="6">
        <v>510</v>
      </c>
      <c r="BV22" s="6">
        <v>0.185</v>
      </c>
      <c r="BW22" s="6">
        <v>8.7499999999999994E-2</v>
      </c>
      <c r="BX22" s="6">
        <v>0.12</v>
      </c>
    </row>
    <row r="23" spans="1:76" x14ac:dyDescent="0.3">
      <c r="A23" s="8" t="s">
        <v>109</v>
      </c>
      <c r="B23" s="12" t="s">
        <v>131</v>
      </c>
      <c r="C23" s="12" t="str">
        <f t="shared" si="0"/>
        <v>11,2020-</v>
      </c>
      <c r="D23" s="9">
        <v>1.29</v>
      </c>
      <c r="E23" s="9">
        <v>6.93</v>
      </c>
      <c r="F23" s="9">
        <v>15.9</v>
      </c>
      <c r="G23" s="9">
        <v>10.9</v>
      </c>
      <c r="H23" s="9">
        <v>2.12</v>
      </c>
      <c r="I23" s="9">
        <v>2.29</v>
      </c>
      <c r="J23" s="9">
        <v>1.27</v>
      </c>
      <c r="K23" s="9">
        <v>6.06</v>
      </c>
      <c r="L23" s="9">
        <v>3.375</v>
      </c>
      <c r="M23" s="9">
        <v>480</v>
      </c>
      <c r="N23" s="9">
        <v>168</v>
      </c>
      <c r="O23" s="9">
        <v>240</v>
      </c>
      <c r="P23" s="9">
        <v>360</v>
      </c>
      <c r="Q23" s="9">
        <v>4</v>
      </c>
      <c r="R23" s="9">
        <v>5</v>
      </c>
      <c r="S23" s="9">
        <v>240</v>
      </c>
      <c r="T23" s="9">
        <v>1800</v>
      </c>
      <c r="U23" s="9">
        <v>12</v>
      </c>
      <c r="V23" s="9">
        <v>14.805</v>
      </c>
      <c r="W23" s="9">
        <v>26.4</v>
      </c>
      <c r="X23" s="9">
        <v>31.14</v>
      </c>
      <c r="Y23" s="9">
        <v>24.48</v>
      </c>
      <c r="Z23" s="9">
        <v>1.7235</v>
      </c>
      <c r="AA23" s="9">
        <v>2.9249999999999998</v>
      </c>
      <c r="AB23" s="9">
        <v>6.57</v>
      </c>
      <c r="AC23" s="9">
        <v>1.359</v>
      </c>
      <c r="AD23" s="9">
        <v>0.69299999999999995</v>
      </c>
      <c r="AE23" s="9">
        <v>0.17977499999999999</v>
      </c>
      <c r="AF23" s="9">
        <v>5.7149999999999999E-2</v>
      </c>
      <c r="AG23" s="9">
        <v>0.24074999999999999</v>
      </c>
      <c r="AH23" s="9">
        <v>0.18881999999999999</v>
      </c>
      <c r="AI23" s="9">
        <v>0.14248</v>
      </c>
      <c r="AJ23" s="9">
        <v>2.5000000000000001E-2</v>
      </c>
      <c r="AK23" s="9">
        <v>0.67884999999999995</v>
      </c>
      <c r="AL23" s="9">
        <v>10.23</v>
      </c>
      <c r="AM23" s="9">
        <v>0.191</v>
      </c>
      <c r="AN23" s="9">
        <v>0.191</v>
      </c>
      <c r="AO23" s="9">
        <v>1.1599999999999999</v>
      </c>
      <c r="AP23" s="9">
        <v>0.79600000000000004</v>
      </c>
      <c r="AQ23" s="9">
        <v>0</v>
      </c>
      <c r="AR23" s="9">
        <v>0</v>
      </c>
      <c r="AS23" s="9">
        <v>2.2000000000000002</v>
      </c>
      <c r="AT23" s="9">
        <v>0.9</v>
      </c>
      <c r="AU23" s="9">
        <v>2.2000000000000002</v>
      </c>
      <c r="AV23" s="9">
        <v>6.6</v>
      </c>
      <c r="AW23" s="9">
        <v>8.9600000000000009</v>
      </c>
      <c r="AX23" s="9">
        <v>53.7</v>
      </c>
      <c r="AY23" s="9">
        <v>1.0900000000000001</v>
      </c>
      <c r="AZ23" s="9">
        <v>1.46</v>
      </c>
      <c r="BA23" s="9">
        <v>8.4699999999999998E-2</v>
      </c>
      <c r="BB23" s="9">
        <v>0.154</v>
      </c>
      <c r="BC23" s="9">
        <v>4.76</v>
      </c>
      <c r="BD23" s="9">
        <v>0</v>
      </c>
      <c r="BE23" s="9">
        <v>23.6</v>
      </c>
      <c r="BF23" s="9">
        <v>31</v>
      </c>
      <c r="BG23" s="9">
        <v>5.44</v>
      </c>
      <c r="BH23" s="9">
        <v>3.35</v>
      </c>
      <c r="BI23" s="9"/>
      <c r="BJ23" s="9"/>
      <c r="BK23" s="9">
        <v>6.97</v>
      </c>
      <c r="BL23" s="9">
        <v>11.7</v>
      </c>
      <c r="BM23" s="9">
        <v>4.92</v>
      </c>
      <c r="BN23" s="9">
        <v>1.79</v>
      </c>
      <c r="BO23" s="9">
        <v>47.5</v>
      </c>
      <c r="BP23" s="9">
        <v>55.5</v>
      </c>
      <c r="BQ23" s="9">
        <v>0</v>
      </c>
      <c r="BR23" s="9">
        <v>1.84</v>
      </c>
      <c r="BS23" s="9">
        <v>0</v>
      </c>
      <c r="BT23" s="9">
        <v>0</v>
      </c>
      <c r="BU23" s="9">
        <v>510</v>
      </c>
      <c r="BV23" s="9">
        <v>0.185</v>
      </c>
      <c r="BW23" s="9">
        <v>8.7499999999999994E-2</v>
      </c>
      <c r="BX23" s="9">
        <v>0.12</v>
      </c>
    </row>
    <row r="24" spans="1:76" x14ac:dyDescent="0.3">
      <c r="A24" s="5" t="s">
        <v>132</v>
      </c>
      <c r="B24" s="11" t="s">
        <v>110</v>
      </c>
      <c r="C24" s="11" t="str">
        <f t="shared" si="0"/>
        <v>12,-1920</v>
      </c>
      <c r="D24" s="6">
        <v>4.22</v>
      </c>
      <c r="E24" s="6">
        <v>11.025</v>
      </c>
      <c r="F24" s="6">
        <v>16.600000000000001</v>
      </c>
      <c r="G24" s="6">
        <v>12.8</v>
      </c>
      <c r="H24" s="6">
        <v>6.54</v>
      </c>
      <c r="I24" s="6">
        <v>1.99</v>
      </c>
      <c r="J24" s="6">
        <v>1.22</v>
      </c>
      <c r="K24" s="6">
        <v>9.57</v>
      </c>
      <c r="L24" s="6">
        <v>3.375</v>
      </c>
      <c r="M24" s="6">
        <v>480</v>
      </c>
      <c r="N24" s="6">
        <v>0</v>
      </c>
      <c r="O24" s="6">
        <v>2</v>
      </c>
      <c r="P24" s="6">
        <v>0</v>
      </c>
      <c r="Q24" s="6">
        <v>0</v>
      </c>
      <c r="R24" s="6">
        <v>0</v>
      </c>
      <c r="S24" s="6">
        <v>0</v>
      </c>
      <c r="T24" s="6">
        <v>0</v>
      </c>
      <c r="U24" s="6">
        <v>12</v>
      </c>
      <c r="V24" s="6">
        <v>14.805</v>
      </c>
      <c r="W24" s="6">
        <v>101</v>
      </c>
      <c r="X24" s="6">
        <v>33.795000000000002</v>
      </c>
      <c r="Y24" s="6">
        <v>24.434999999999999</v>
      </c>
      <c r="Z24" s="6">
        <v>1.2869999999999999</v>
      </c>
      <c r="AA24" s="6">
        <v>2.9249999999999998</v>
      </c>
      <c r="AB24" s="6">
        <v>6.66</v>
      </c>
      <c r="AC24" s="6">
        <v>1.125</v>
      </c>
      <c r="AD24" s="6">
        <v>0.64349999999999996</v>
      </c>
      <c r="AE24" s="6">
        <v>0.17977499999999999</v>
      </c>
      <c r="AF24" s="6">
        <v>5.67E-2</v>
      </c>
      <c r="AG24" s="6">
        <v>0.22275</v>
      </c>
      <c r="AH24" s="6">
        <v>0.18881999999999999</v>
      </c>
      <c r="AI24" s="6">
        <v>0</v>
      </c>
      <c r="AJ24" s="6">
        <v>0</v>
      </c>
      <c r="AK24" s="6">
        <v>0</v>
      </c>
      <c r="AL24" s="6">
        <v>0</v>
      </c>
      <c r="AM24" s="6">
        <v>0</v>
      </c>
      <c r="AN24" s="6">
        <v>0</v>
      </c>
      <c r="AO24" s="6">
        <v>0</v>
      </c>
      <c r="AP24" s="6">
        <v>0</v>
      </c>
      <c r="AQ24" s="6">
        <v>0.66</v>
      </c>
      <c r="AR24" s="6">
        <v>0.8</v>
      </c>
      <c r="AS24" s="6">
        <v>1.1000000000000001</v>
      </c>
      <c r="AT24" s="6">
        <v>0</v>
      </c>
      <c r="AU24" s="6">
        <v>1.65</v>
      </c>
      <c r="AV24" s="6">
        <v>3.3</v>
      </c>
      <c r="AW24" s="6">
        <v>0</v>
      </c>
      <c r="AX24" s="6">
        <v>0</v>
      </c>
      <c r="AY24" s="6">
        <v>0</v>
      </c>
      <c r="AZ24" s="6">
        <v>0</v>
      </c>
      <c r="BA24" s="6">
        <v>0</v>
      </c>
      <c r="BB24" s="6">
        <v>0</v>
      </c>
      <c r="BC24" s="6">
        <v>0</v>
      </c>
      <c r="BD24" s="6"/>
      <c r="BE24" s="6">
        <v>0</v>
      </c>
      <c r="BF24" s="6">
        <v>0</v>
      </c>
      <c r="BG24" s="6">
        <v>0</v>
      </c>
      <c r="BH24" s="6">
        <v>0</v>
      </c>
      <c r="BI24" s="6"/>
      <c r="BJ24" s="6"/>
      <c r="BK24" s="6">
        <v>2.0699999999999998</v>
      </c>
      <c r="BL24" s="6">
        <v>8.48</v>
      </c>
      <c r="BM24" s="6">
        <v>7.75</v>
      </c>
      <c r="BN24" s="6">
        <v>2.1100000000000001E-2</v>
      </c>
      <c r="BO24" s="6">
        <v>1.24</v>
      </c>
      <c r="BP24" s="6">
        <v>5.76</v>
      </c>
      <c r="BQ24" s="6"/>
      <c r="BR24" s="6">
        <v>9.0300000000000005E-2</v>
      </c>
      <c r="BS24" s="6"/>
      <c r="BT24" s="6"/>
      <c r="BU24" s="6">
        <v>100</v>
      </c>
      <c r="BV24" s="6">
        <v>0</v>
      </c>
      <c r="BW24" s="6">
        <v>0.17499999999999999</v>
      </c>
      <c r="BX24" s="6">
        <v>0</v>
      </c>
    </row>
    <row r="25" spans="1:76" x14ac:dyDescent="0.3">
      <c r="A25" s="8" t="s">
        <v>132</v>
      </c>
      <c r="B25" s="12" t="s">
        <v>111</v>
      </c>
      <c r="C25" s="12" t="str">
        <f t="shared" si="0"/>
        <v>12,1920-1925</v>
      </c>
      <c r="D25" s="9">
        <v>4.22</v>
      </c>
      <c r="E25" s="9">
        <v>11.025</v>
      </c>
      <c r="F25" s="9">
        <v>16.600000000000001</v>
      </c>
      <c r="G25" s="9">
        <v>12.8</v>
      </c>
      <c r="H25" s="9">
        <v>6.54</v>
      </c>
      <c r="I25" s="9">
        <v>1.99</v>
      </c>
      <c r="J25" s="9">
        <v>1.22</v>
      </c>
      <c r="K25" s="9">
        <v>9.57</v>
      </c>
      <c r="L25" s="9">
        <v>3.375</v>
      </c>
      <c r="M25" s="9">
        <v>480</v>
      </c>
      <c r="N25" s="9">
        <v>0</v>
      </c>
      <c r="O25" s="9">
        <v>31</v>
      </c>
      <c r="P25" s="9">
        <v>0</v>
      </c>
      <c r="Q25" s="9">
        <v>0</v>
      </c>
      <c r="R25" s="9">
        <v>0</v>
      </c>
      <c r="S25" s="9">
        <v>0</v>
      </c>
      <c r="T25" s="9">
        <v>0</v>
      </c>
      <c r="U25" s="9">
        <v>12</v>
      </c>
      <c r="V25" s="9">
        <v>14.805</v>
      </c>
      <c r="W25" s="9">
        <v>94.6</v>
      </c>
      <c r="X25" s="9">
        <v>33.795000000000002</v>
      </c>
      <c r="Y25" s="9">
        <v>24.434999999999999</v>
      </c>
      <c r="Z25" s="9">
        <v>1.2869999999999999</v>
      </c>
      <c r="AA25" s="9">
        <v>2.9249999999999998</v>
      </c>
      <c r="AB25" s="9">
        <v>6.66</v>
      </c>
      <c r="AC25" s="9">
        <v>1.125</v>
      </c>
      <c r="AD25" s="9">
        <v>0.64349999999999996</v>
      </c>
      <c r="AE25" s="9">
        <v>0.17977499999999999</v>
      </c>
      <c r="AF25" s="9">
        <v>5.67E-2</v>
      </c>
      <c r="AG25" s="9">
        <v>0.22275</v>
      </c>
      <c r="AH25" s="9">
        <v>0.18881999999999999</v>
      </c>
      <c r="AI25" s="9">
        <v>0</v>
      </c>
      <c r="AJ25" s="9">
        <v>0</v>
      </c>
      <c r="AK25" s="9">
        <v>0</v>
      </c>
      <c r="AL25" s="9">
        <v>0</v>
      </c>
      <c r="AM25" s="9">
        <v>0</v>
      </c>
      <c r="AN25" s="9">
        <v>0</v>
      </c>
      <c r="AO25" s="9">
        <v>0</v>
      </c>
      <c r="AP25" s="9">
        <v>0</v>
      </c>
      <c r="AQ25" s="9">
        <v>0.66</v>
      </c>
      <c r="AR25" s="9">
        <v>0.8</v>
      </c>
      <c r="AS25" s="9">
        <v>1.1000000000000001</v>
      </c>
      <c r="AT25" s="9">
        <v>0</v>
      </c>
      <c r="AU25" s="9">
        <v>1.65</v>
      </c>
      <c r="AV25" s="9">
        <v>3.3</v>
      </c>
      <c r="AW25" s="9">
        <v>0</v>
      </c>
      <c r="AX25" s="9">
        <v>0</v>
      </c>
      <c r="AY25" s="9">
        <v>0</v>
      </c>
      <c r="AZ25" s="9">
        <v>0</v>
      </c>
      <c r="BA25" s="9">
        <v>0</v>
      </c>
      <c r="BB25" s="9">
        <v>0</v>
      </c>
      <c r="BC25" s="9">
        <v>0</v>
      </c>
      <c r="BD25" s="9"/>
      <c r="BE25" s="9">
        <v>0</v>
      </c>
      <c r="BF25" s="9">
        <v>0</v>
      </c>
      <c r="BG25" s="9">
        <v>0</v>
      </c>
      <c r="BH25" s="9">
        <v>0</v>
      </c>
      <c r="BI25" s="9"/>
      <c r="BJ25" s="9"/>
      <c r="BK25" s="9">
        <v>4.1399999999999997</v>
      </c>
      <c r="BL25" s="9">
        <v>16.899999999999999</v>
      </c>
      <c r="BM25" s="9">
        <v>15.5</v>
      </c>
      <c r="BN25" s="9">
        <v>4.2200000000000001E-2</v>
      </c>
      <c r="BO25" s="9">
        <v>2.4700000000000002</v>
      </c>
      <c r="BP25" s="9">
        <v>11.5</v>
      </c>
      <c r="BQ25" s="9"/>
      <c r="BR25" s="9">
        <v>0.18099999999999999</v>
      </c>
      <c r="BS25" s="9"/>
      <c r="BT25" s="9"/>
      <c r="BU25" s="9">
        <v>139</v>
      </c>
      <c r="BV25" s="9">
        <v>0</v>
      </c>
      <c r="BW25" s="9">
        <v>0.17499999999999999</v>
      </c>
      <c r="BX25" s="9">
        <v>0</v>
      </c>
    </row>
    <row r="26" spans="1:76" x14ac:dyDescent="0.3">
      <c r="A26" s="5" t="s">
        <v>132</v>
      </c>
      <c r="B26" s="11" t="s">
        <v>112</v>
      </c>
      <c r="C26" s="11" t="str">
        <f t="shared" si="0"/>
        <v>12,1925-1930</v>
      </c>
      <c r="D26" s="6">
        <v>4.22</v>
      </c>
      <c r="E26" s="6">
        <v>11.025</v>
      </c>
      <c r="F26" s="6">
        <v>16.600000000000001</v>
      </c>
      <c r="G26" s="6">
        <v>12.8</v>
      </c>
      <c r="H26" s="6">
        <v>6.54</v>
      </c>
      <c r="I26" s="6">
        <v>1.99</v>
      </c>
      <c r="J26" s="6">
        <v>1.22</v>
      </c>
      <c r="K26" s="6">
        <v>9.57</v>
      </c>
      <c r="L26" s="6">
        <v>3.375</v>
      </c>
      <c r="M26" s="6">
        <v>480</v>
      </c>
      <c r="N26" s="6">
        <v>0</v>
      </c>
      <c r="O26" s="6">
        <v>58</v>
      </c>
      <c r="P26" s="6">
        <v>0</v>
      </c>
      <c r="Q26" s="6">
        <v>0</v>
      </c>
      <c r="R26" s="6">
        <v>0</v>
      </c>
      <c r="S26" s="6">
        <v>0</v>
      </c>
      <c r="T26" s="6">
        <v>0</v>
      </c>
      <c r="U26" s="6">
        <v>12</v>
      </c>
      <c r="V26" s="6">
        <v>14.805</v>
      </c>
      <c r="W26" s="6">
        <v>87.7</v>
      </c>
      <c r="X26" s="6">
        <v>33.795000000000002</v>
      </c>
      <c r="Y26" s="6">
        <v>24.434999999999999</v>
      </c>
      <c r="Z26" s="6">
        <v>1.2869999999999999</v>
      </c>
      <c r="AA26" s="6">
        <v>2.9249999999999998</v>
      </c>
      <c r="AB26" s="6">
        <v>6.66</v>
      </c>
      <c r="AC26" s="6">
        <v>1.125</v>
      </c>
      <c r="AD26" s="6">
        <v>0.64349999999999996</v>
      </c>
      <c r="AE26" s="6">
        <v>0.17977499999999999</v>
      </c>
      <c r="AF26" s="6">
        <v>5.67E-2</v>
      </c>
      <c r="AG26" s="6">
        <v>0.22275</v>
      </c>
      <c r="AH26" s="6">
        <v>0.18881999999999999</v>
      </c>
      <c r="AI26" s="6">
        <v>0</v>
      </c>
      <c r="AJ26" s="6">
        <v>0</v>
      </c>
      <c r="AK26" s="6">
        <v>0</v>
      </c>
      <c r="AL26" s="6">
        <v>0</v>
      </c>
      <c r="AM26" s="6">
        <v>0</v>
      </c>
      <c r="AN26" s="6">
        <v>0</v>
      </c>
      <c r="AO26" s="6">
        <v>0</v>
      </c>
      <c r="AP26" s="6">
        <v>0</v>
      </c>
      <c r="AQ26" s="6">
        <v>0.66</v>
      </c>
      <c r="AR26" s="6">
        <v>0.8</v>
      </c>
      <c r="AS26" s="6">
        <v>1.1000000000000001</v>
      </c>
      <c r="AT26" s="6">
        <v>0</v>
      </c>
      <c r="AU26" s="6">
        <v>1.65</v>
      </c>
      <c r="AV26" s="6">
        <v>3.3</v>
      </c>
      <c r="AW26" s="6">
        <v>0</v>
      </c>
      <c r="AX26" s="6">
        <v>0</v>
      </c>
      <c r="AY26" s="6">
        <v>0</v>
      </c>
      <c r="AZ26" s="6">
        <v>0</v>
      </c>
      <c r="BA26" s="6">
        <v>0</v>
      </c>
      <c r="BB26" s="6">
        <v>0</v>
      </c>
      <c r="BC26" s="6">
        <v>0</v>
      </c>
      <c r="BD26" s="6"/>
      <c r="BE26" s="6">
        <v>0</v>
      </c>
      <c r="BF26" s="6">
        <v>0</v>
      </c>
      <c r="BG26" s="6">
        <v>0</v>
      </c>
      <c r="BH26" s="6">
        <v>0</v>
      </c>
      <c r="BI26" s="6"/>
      <c r="BJ26" s="6"/>
      <c r="BK26" s="6">
        <v>6.21</v>
      </c>
      <c r="BL26" s="6">
        <v>25.4</v>
      </c>
      <c r="BM26" s="6">
        <v>23.2</v>
      </c>
      <c r="BN26" s="6">
        <v>6.3299999999999995E-2</v>
      </c>
      <c r="BO26" s="6">
        <v>3.71</v>
      </c>
      <c r="BP26" s="6">
        <v>17.3</v>
      </c>
      <c r="BQ26" s="6"/>
      <c r="BR26" s="6">
        <v>0.27100000000000002</v>
      </c>
      <c r="BS26" s="6"/>
      <c r="BT26" s="6"/>
      <c r="BU26" s="6">
        <v>178</v>
      </c>
      <c r="BV26" s="6">
        <v>0</v>
      </c>
      <c r="BW26" s="6">
        <v>0.17499999999999999</v>
      </c>
      <c r="BX26" s="6">
        <v>0</v>
      </c>
    </row>
    <row r="27" spans="1:76" x14ac:dyDescent="0.3">
      <c r="A27" s="8" t="s">
        <v>132</v>
      </c>
      <c r="B27" s="12" t="s">
        <v>113</v>
      </c>
      <c r="C27" s="12" t="str">
        <f t="shared" si="0"/>
        <v>12,1930-1935</v>
      </c>
      <c r="D27" s="9">
        <v>4.22</v>
      </c>
      <c r="E27" s="9">
        <v>11.025</v>
      </c>
      <c r="F27" s="9">
        <v>16.600000000000001</v>
      </c>
      <c r="G27" s="9">
        <v>12.8</v>
      </c>
      <c r="H27" s="9">
        <v>6.54</v>
      </c>
      <c r="I27" s="9">
        <v>1.99</v>
      </c>
      <c r="J27" s="9">
        <v>1.22</v>
      </c>
      <c r="K27" s="9">
        <v>9.57</v>
      </c>
      <c r="L27" s="9">
        <v>3.375</v>
      </c>
      <c r="M27" s="9">
        <v>480</v>
      </c>
      <c r="N27" s="9">
        <v>0</v>
      </c>
      <c r="O27" s="9">
        <v>84</v>
      </c>
      <c r="P27" s="9">
        <v>0</v>
      </c>
      <c r="Q27" s="9">
        <v>0</v>
      </c>
      <c r="R27" s="9">
        <v>0</v>
      </c>
      <c r="S27" s="9">
        <v>0</v>
      </c>
      <c r="T27" s="9">
        <v>2160</v>
      </c>
      <c r="U27" s="9">
        <v>12</v>
      </c>
      <c r="V27" s="9">
        <v>14.805</v>
      </c>
      <c r="W27" s="9">
        <v>80.900000000000006</v>
      </c>
      <c r="X27" s="9">
        <v>33.795000000000002</v>
      </c>
      <c r="Y27" s="9">
        <v>24.434999999999999</v>
      </c>
      <c r="Z27" s="9">
        <v>1.2869999999999999</v>
      </c>
      <c r="AA27" s="9">
        <v>2.9249999999999998</v>
      </c>
      <c r="AB27" s="9">
        <v>6.66</v>
      </c>
      <c r="AC27" s="9">
        <v>1.125</v>
      </c>
      <c r="AD27" s="9">
        <v>0.64349999999999996</v>
      </c>
      <c r="AE27" s="9">
        <v>0.17977499999999999</v>
      </c>
      <c r="AF27" s="9">
        <v>5.67E-2</v>
      </c>
      <c r="AG27" s="9">
        <v>0.22275</v>
      </c>
      <c r="AH27" s="9">
        <v>0.18881999999999999</v>
      </c>
      <c r="AI27" s="9">
        <v>0</v>
      </c>
      <c r="AJ27" s="9">
        <v>0</v>
      </c>
      <c r="AK27" s="9">
        <v>0</v>
      </c>
      <c r="AL27" s="9">
        <v>0</v>
      </c>
      <c r="AM27" s="9">
        <v>0</v>
      </c>
      <c r="AN27" s="9">
        <v>0</v>
      </c>
      <c r="AO27" s="9">
        <v>0</v>
      </c>
      <c r="AP27" s="9">
        <v>0</v>
      </c>
      <c r="AQ27" s="9">
        <v>0.66</v>
      </c>
      <c r="AR27" s="9">
        <v>0.8</v>
      </c>
      <c r="AS27" s="9">
        <v>1.1000000000000001</v>
      </c>
      <c r="AT27" s="9">
        <v>0</v>
      </c>
      <c r="AU27" s="9">
        <v>1.65</v>
      </c>
      <c r="AV27" s="9">
        <v>3.3</v>
      </c>
      <c r="AW27" s="9">
        <v>0</v>
      </c>
      <c r="AX27" s="9">
        <v>0</v>
      </c>
      <c r="AY27" s="9">
        <v>0</v>
      </c>
      <c r="AZ27" s="9">
        <v>0</v>
      </c>
      <c r="BA27" s="9">
        <v>0</v>
      </c>
      <c r="BB27" s="9">
        <v>0</v>
      </c>
      <c r="BC27" s="9">
        <v>0</v>
      </c>
      <c r="BD27" s="9"/>
      <c r="BE27" s="9">
        <v>0</v>
      </c>
      <c r="BF27" s="9">
        <v>0</v>
      </c>
      <c r="BG27" s="9">
        <v>0</v>
      </c>
      <c r="BH27" s="9">
        <v>0</v>
      </c>
      <c r="BI27" s="9"/>
      <c r="BJ27" s="9"/>
      <c r="BK27" s="9">
        <v>8.2799999999999994</v>
      </c>
      <c r="BL27" s="9">
        <v>33.9</v>
      </c>
      <c r="BM27" s="9">
        <v>31</v>
      </c>
      <c r="BN27" s="9">
        <v>8.4400000000000003E-2</v>
      </c>
      <c r="BO27" s="9">
        <v>4.9400000000000004</v>
      </c>
      <c r="BP27" s="9">
        <v>23.1</v>
      </c>
      <c r="BQ27" s="9"/>
      <c r="BR27" s="9">
        <v>0.36099999999999999</v>
      </c>
      <c r="BS27" s="9"/>
      <c r="BT27" s="9"/>
      <c r="BU27" s="9">
        <v>218</v>
      </c>
      <c r="BV27" s="9">
        <v>0</v>
      </c>
      <c r="BW27" s="9">
        <v>0.17499999999999999</v>
      </c>
      <c r="BX27" s="9">
        <v>0</v>
      </c>
    </row>
    <row r="28" spans="1:76" x14ac:dyDescent="0.3">
      <c r="A28" s="5" t="s">
        <v>132</v>
      </c>
      <c r="B28" s="11" t="s">
        <v>114</v>
      </c>
      <c r="C28" s="11" t="str">
        <f t="shared" si="0"/>
        <v>12,1935-1940</v>
      </c>
      <c r="D28" s="6">
        <v>4.22</v>
      </c>
      <c r="E28" s="6">
        <v>11.025</v>
      </c>
      <c r="F28" s="6">
        <v>16.600000000000001</v>
      </c>
      <c r="G28" s="6">
        <v>12.8</v>
      </c>
      <c r="H28" s="6">
        <v>6.54</v>
      </c>
      <c r="I28" s="6">
        <v>1.99</v>
      </c>
      <c r="J28" s="6">
        <v>1.22</v>
      </c>
      <c r="K28" s="6">
        <v>9.57</v>
      </c>
      <c r="L28" s="6">
        <v>3.375</v>
      </c>
      <c r="M28" s="6">
        <v>480</v>
      </c>
      <c r="N28" s="6">
        <v>0</v>
      </c>
      <c r="O28" s="6">
        <v>110</v>
      </c>
      <c r="P28" s="6">
        <v>0</v>
      </c>
      <c r="Q28" s="6">
        <v>0</v>
      </c>
      <c r="R28" s="6">
        <v>0</v>
      </c>
      <c r="S28" s="6">
        <v>0</v>
      </c>
      <c r="T28" s="6">
        <v>2160</v>
      </c>
      <c r="U28" s="6">
        <v>12</v>
      </c>
      <c r="V28" s="6">
        <v>14.805</v>
      </c>
      <c r="W28" s="6">
        <v>74.099999999999994</v>
      </c>
      <c r="X28" s="6">
        <v>33.795000000000002</v>
      </c>
      <c r="Y28" s="6">
        <v>24.434999999999999</v>
      </c>
      <c r="Z28" s="6">
        <v>1.2869999999999999</v>
      </c>
      <c r="AA28" s="6">
        <v>2.9249999999999998</v>
      </c>
      <c r="AB28" s="6">
        <v>6.66</v>
      </c>
      <c r="AC28" s="6">
        <v>1.125</v>
      </c>
      <c r="AD28" s="6">
        <v>0.64349999999999996</v>
      </c>
      <c r="AE28" s="6">
        <v>0.17977499999999999</v>
      </c>
      <c r="AF28" s="6">
        <v>5.67E-2</v>
      </c>
      <c r="AG28" s="6">
        <v>0.22275</v>
      </c>
      <c r="AH28" s="6">
        <v>0.18881999999999999</v>
      </c>
      <c r="AI28" s="6">
        <v>0</v>
      </c>
      <c r="AJ28" s="6">
        <v>0</v>
      </c>
      <c r="AK28" s="6">
        <v>0</v>
      </c>
      <c r="AL28" s="6">
        <v>0</v>
      </c>
      <c r="AM28" s="6">
        <v>0</v>
      </c>
      <c r="AN28" s="6">
        <v>0</v>
      </c>
      <c r="AO28" s="6">
        <v>0</v>
      </c>
      <c r="AP28" s="6">
        <v>0</v>
      </c>
      <c r="AQ28" s="6">
        <v>0.66</v>
      </c>
      <c r="AR28" s="6">
        <v>0.8</v>
      </c>
      <c r="AS28" s="6">
        <v>1.1000000000000001</v>
      </c>
      <c r="AT28" s="6">
        <v>0</v>
      </c>
      <c r="AU28" s="6">
        <v>1.65</v>
      </c>
      <c r="AV28" s="6">
        <v>3.3</v>
      </c>
      <c r="AW28" s="6">
        <v>0</v>
      </c>
      <c r="AX28" s="6">
        <v>0</v>
      </c>
      <c r="AY28" s="6">
        <v>0</v>
      </c>
      <c r="AZ28" s="6">
        <v>0</v>
      </c>
      <c r="BA28" s="6">
        <v>0</v>
      </c>
      <c r="BB28" s="6">
        <v>0</v>
      </c>
      <c r="BC28" s="6">
        <v>0</v>
      </c>
      <c r="BD28" s="6"/>
      <c r="BE28" s="6">
        <v>0</v>
      </c>
      <c r="BF28" s="6">
        <v>0</v>
      </c>
      <c r="BG28" s="6">
        <v>0</v>
      </c>
      <c r="BH28" s="6">
        <v>0</v>
      </c>
      <c r="BI28" s="6"/>
      <c r="BJ28" s="6"/>
      <c r="BK28" s="6">
        <v>10.3</v>
      </c>
      <c r="BL28" s="6">
        <v>42.3</v>
      </c>
      <c r="BM28" s="6">
        <v>38.700000000000003</v>
      </c>
      <c r="BN28" s="6">
        <v>0.106</v>
      </c>
      <c r="BO28" s="6">
        <v>6.18</v>
      </c>
      <c r="BP28" s="6">
        <v>28.8</v>
      </c>
      <c r="BQ28" s="6"/>
      <c r="BR28" s="6">
        <v>0.45100000000000001</v>
      </c>
      <c r="BS28" s="6"/>
      <c r="BT28" s="6"/>
      <c r="BU28" s="6">
        <v>257</v>
      </c>
      <c r="BV28" s="6">
        <v>0</v>
      </c>
      <c r="BW28" s="6">
        <v>0.17499999999999999</v>
      </c>
      <c r="BX28" s="6">
        <v>0</v>
      </c>
    </row>
    <row r="29" spans="1:76" x14ac:dyDescent="0.3">
      <c r="A29" s="8" t="s">
        <v>132</v>
      </c>
      <c r="B29" s="12" t="s">
        <v>115</v>
      </c>
      <c r="C29" s="12" t="str">
        <f t="shared" si="0"/>
        <v>12,1940-1945</v>
      </c>
      <c r="D29" s="9">
        <v>4.22</v>
      </c>
      <c r="E29" s="9">
        <v>11.025</v>
      </c>
      <c r="F29" s="9">
        <v>16.600000000000001</v>
      </c>
      <c r="G29" s="9">
        <v>12.8</v>
      </c>
      <c r="H29" s="9">
        <v>6.54</v>
      </c>
      <c r="I29" s="9">
        <v>1.99</v>
      </c>
      <c r="J29" s="9">
        <v>1.22</v>
      </c>
      <c r="K29" s="9">
        <v>9.57</v>
      </c>
      <c r="L29" s="9">
        <v>3.375</v>
      </c>
      <c r="M29" s="9">
        <v>480</v>
      </c>
      <c r="N29" s="9">
        <v>0</v>
      </c>
      <c r="O29" s="9">
        <v>159</v>
      </c>
      <c r="P29" s="9">
        <v>0</v>
      </c>
      <c r="Q29" s="9">
        <v>0</v>
      </c>
      <c r="R29" s="9">
        <v>0</v>
      </c>
      <c r="S29" s="9">
        <v>0</v>
      </c>
      <c r="T29" s="9">
        <v>2160</v>
      </c>
      <c r="U29" s="9">
        <v>12</v>
      </c>
      <c r="V29" s="9">
        <v>14.805</v>
      </c>
      <c r="W29" s="9">
        <v>67.3</v>
      </c>
      <c r="X29" s="9">
        <v>33.795000000000002</v>
      </c>
      <c r="Y29" s="9">
        <v>24.434999999999999</v>
      </c>
      <c r="Z29" s="9">
        <v>1.2869999999999999</v>
      </c>
      <c r="AA29" s="9">
        <v>2.9249999999999998</v>
      </c>
      <c r="AB29" s="9">
        <v>6.66</v>
      </c>
      <c r="AC29" s="9">
        <v>1.125</v>
      </c>
      <c r="AD29" s="9">
        <v>0.64349999999999996</v>
      </c>
      <c r="AE29" s="9">
        <v>0.17977499999999999</v>
      </c>
      <c r="AF29" s="9">
        <v>5.67E-2</v>
      </c>
      <c r="AG29" s="9">
        <v>0.22275</v>
      </c>
      <c r="AH29" s="9">
        <v>0.18881999999999999</v>
      </c>
      <c r="AI29" s="9">
        <v>0</v>
      </c>
      <c r="AJ29" s="9">
        <v>0</v>
      </c>
      <c r="AK29" s="9">
        <v>0</v>
      </c>
      <c r="AL29" s="9">
        <v>0</v>
      </c>
      <c r="AM29" s="9">
        <v>0</v>
      </c>
      <c r="AN29" s="9">
        <v>0</v>
      </c>
      <c r="AO29" s="9">
        <v>0</v>
      </c>
      <c r="AP29" s="9">
        <v>0</v>
      </c>
      <c r="AQ29" s="9">
        <v>0.66</v>
      </c>
      <c r="AR29" s="9">
        <v>0.8</v>
      </c>
      <c r="AS29" s="9">
        <v>1.1000000000000001</v>
      </c>
      <c r="AT29" s="9">
        <v>0</v>
      </c>
      <c r="AU29" s="9">
        <v>1.65</v>
      </c>
      <c r="AV29" s="9">
        <v>3.3</v>
      </c>
      <c r="AW29" s="9">
        <v>0</v>
      </c>
      <c r="AX29" s="9">
        <v>0</v>
      </c>
      <c r="AY29" s="9">
        <v>0</v>
      </c>
      <c r="AZ29" s="9">
        <v>0</v>
      </c>
      <c r="BA29" s="9">
        <v>0</v>
      </c>
      <c r="BB29" s="9">
        <v>0</v>
      </c>
      <c r="BC29" s="9">
        <v>0</v>
      </c>
      <c r="BD29" s="9"/>
      <c r="BE29" s="9">
        <v>0</v>
      </c>
      <c r="BF29" s="9">
        <v>0</v>
      </c>
      <c r="BG29" s="9">
        <v>0</v>
      </c>
      <c r="BH29" s="9">
        <v>0</v>
      </c>
      <c r="BI29" s="9"/>
      <c r="BJ29" s="9"/>
      <c r="BK29" s="9">
        <v>14.9</v>
      </c>
      <c r="BL29" s="9">
        <v>61</v>
      </c>
      <c r="BM29" s="9">
        <v>55.8</v>
      </c>
      <c r="BN29" s="9">
        <v>0.152</v>
      </c>
      <c r="BO29" s="9">
        <v>7.42</v>
      </c>
      <c r="BP29" s="9">
        <v>34.6</v>
      </c>
      <c r="BQ29" s="9"/>
      <c r="BR29" s="9">
        <v>0.54200000000000004</v>
      </c>
      <c r="BS29" s="9"/>
      <c r="BT29" s="9"/>
      <c r="BU29" s="9">
        <v>296</v>
      </c>
      <c r="BV29" s="9">
        <v>0</v>
      </c>
      <c r="BW29" s="9">
        <v>0.17499999999999999</v>
      </c>
      <c r="BX29" s="9">
        <v>0</v>
      </c>
    </row>
    <row r="30" spans="1:76" x14ac:dyDescent="0.3">
      <c r="A30" s="5" t="s">
        <v>132</v>
      </c>
      <c r="B30" s="11" t="s">
        <v>116</v>
      </c>
      <c r="C30" s="11" t="str">
        <f t="shared" si="0"/>
        <v>12,1945-1950</v>
      </c>
      <c r="D30" s="6">
        <v>4.22</v>
      </c>
      <c r="E30" s="6">
        <v>11.025</v>
      </c>
      <c r="F30" s="6">
        <v>16.600000000000001</v>
      </c>
      <c r="G30" s="6">
        <v>12.8</v>
      </c>
      <c r="H30" s="6">
        <v>6.54</v>
      </c>
      <c r="I30" s="6">
        <v>1.99</v>
      </c>
      <c r="J30" s="6">
        <v>1.22</v>
      </c>
      <c r="K30" s="6">
        <v>9.57</v>
      </c>
      <c r="L30" s="6">
        <v>3.375</v>
      </c>
      <c r="M30" s="6">
        <v>480</v>
      </c>
      <c r="N30" s="6">
        <v>0</v>
      </c>
      <c r="O30" s="6">
        <v>189</v>
      </c>
      <c r="P30" s="6">
        <v>0</v>
      </c>
      <c r="Q30" s="6">
        <v>0</v>
      </c>
      <c r="R30" s="6">
        <v>0</v>
      </c>
      <c r="S30" s="6">
        <v>0</v>
      </c>
      <c r="T30" s="6">
        <v>2160</v>
      </c>
      <c r="U30" s="6">
        <v>12</v>
      </c>
      <c r="V30" s="6">
        <v>14.805</v>
      </c>
      <c r="W30" s="6">
        <v>60.5</v>
      </c>
      <c r="X30" s="6">
        <v>33.795000000000002</v>
      </c>
      <c r="Y30" s="6">
        <v>24.434999999999999</v>
      </c>
      <c r="Z30" s="6">
        <v>1.2869999999999999</v>
      </c>
      <c r="AA30" s="6">
        <v>2.9249999999999998</v>
      </c>
      <c r="AB30" s="6">
        <v>6.66</v>
      </c>
      <c r="AC30" s="6">
        <v>1.125</v>
      </c>
      <c r="AD30" s="6">
        <v>0.64349999999999996</v>
      </c>
      <c r="AE30" s="6">
        <v>0.17977499999999999</v>
      </c>
      <c r="AF30" s="6">
        <v>5.67E-2</v>
      </c>
      <c r="AG30" s="6">
        <v>0.22275</v>
      </c>
      <c r="AH30" s="6">
        <v>0.18881999999999999</v>
      </c>
      <c r="AI30" s="6">
        <v>0</v>
      </c>
      <c r="AJ30" s="6">
        <v>0</v>
      </c>
      <c r="AK30" s="6">
        <v>0</v>
      </c>
      <c r="AL30" s="6">
        <v>0</v>
      </c>
      <c r="AM30" s="6">
        <v>0</v>
      </c>
      <c r="AN30" s="6">
        <v>0</v>
      </c>
      <c r="AO30" s="6">
        <v>0</v>
      </c>
      <c r="AP30" s="6">
        <v>0</v>
      </c>
      <c r="AQ30" s="6">
        <v>0.66</v>
      </c>
      <c r="AR30" s="6">
        <v>0.8</v>
      </c>
      <c r="AS30" s="6">
        <v>1.1000000000000001</v>
      </c>
      <c r="AT30" s="6">
        <v>0</v>
      </c>
      <c r="AU30" s="6">
        <v>1.65</v>
      </c>
      <c r="AV30" s="6">
        <v>3.3</v>
      </c>
      <c r="AW30" s="6">
        <v>0</v>
      </c>
      <c r="AX30" s="6">
        <v>0</v>
      </c>
      <c r="AY30" s="6">
        <v>0</v>
      </c>
      <c r="AZ30" s="6">
        <v>0</v>
      </c>
      <c r="BA30" s="6">
        <v>0</v>
      </c>
      <c r="BB30" s="6">
        <v>0</v>
      </c>
      <c r="BC30" s="6">
        <v>0.69299999999999995</v>
      </c>
      <c r="BD30" s="6"/>
      <c r="BE30" s="6">
        <v>4.67</v>
      </c>
      <c r="BF30" s="6">
        <v>3.22</v>
      </c>
      <c r="BG30" s="6">
        <v>2.83</v>
      </c>
      <c r="BH30" s="6">
        <v>0.4</v>
      </c>
      <c r="BI30" s="6"/>
      <c r="BJ30" s="6"/>
      <c r="BK30" s="6">
        <v>12.4</v>
      </c>
      <c r="BL30" s="6">
        <v>51</v>
      </c>
      <c r="BM30" s="6">
        <v>46.5</v>
      </c>
      <c r="BN30" s="6">
        <v>0.127</v>
      </c>
      <c r="BO30" s="6">
        <v>8.65</v>
      </c>
      <c r="BP30" s="6">
        <v>40.299999999999997</v>
      </c>
      <c r="BQ30" s="6"/>
      <c r="BR30" s="6">
        <v>0.63200000000000001</v>
      </c>
      <c r="BS30" s="6"/>
      <c r="BT30" s="6"/>
      <c r="BU30" s="6">
        <v>335</v>
      </c>
      <c r="BV30" s="6">
        <v>0</v>
      </c>
      <c r="BW30" s="6">
        <v>0.17499999999999999</v>
      </c>
      <c r="BX30" s="6">
        <v>0</v>
      </c>
    </row>
    <row r="31" spans="1:76" x14ac:dyDescent="0.3">
      <c r="A31" s="8" t="s">
        <v>132</v>
      </c>
      <c r="B31" s="12" t="s">
        <v>117</v>
      </c>
      <c r="C31" s="12" t="str">
        <f t="shared" si="0"/>
        <v>12,1950-1955</v>
      </c>
      <c r="D31" s="9">
        <v>4.22</v>
      </c>
      <c r="E31" s="9">
        <v>11.025</v>
      </c>
      <c r="F31" s="9">
        <v>16.600000000000001</v>
      </c>
      <c r="G31" s="9">
        <v>12.8</v>
      </c>
      <c r="H31" s="9">
        <v>6.54</v>
      </c>
      <c r="I31" s="9">
        <v>1.99</v>
      </c>
      <c r="J31" s="9">
        <v>1.22</v>
      </c>
      <c r="K31" s="9">
        <v>9.57</v>
      </c>
      <c r="L31" s="9">
        <v>3.375</v>
      </c>
      <c r="M31" s="9">
        <v>480</v>
      </c>
      <c r="N31" s="9">
        <v>192</v>
      </c>
      <c r="O31" s="9">
        <v>220</v>
      </c>
      <c r="P31" s="9">
        <v>360</v>
      </c>
      <c r="Q31" s="9">
        <v>4</v>
      </c>
      <c r="R31" s="9">
        <v>0</v>
      </c>
      <c r="S31" s="9">
        <v>192</v>
      </c>
      <c r="T31" s="9">
        <v>2160</v>
      </c>
      <c r="U31" s="9">
        <v>12</v>
      </c>
      <c r="V31" s="9">
        <v>14.805</v>
      </c>
      <c r="W31" s="9">
        <v>53.6</v>
      </c>
      <c r="X31" s="9">
        <v>33.795000000000002</v>
      </c>
      <c r="Y31" s="9">
        <v>24.434999999999999</v>
      </c>
      <c r="Z31" s="9">
        <v>1.2869999999999999</v>
      </c>
      <c r="AA31" s="9">
        <v>2.9249999999999998</v>
      </c>
      <c r="AB31" s="9">
        <v>6.66</v>
      </c>
      <c r="AC31" s="9">
        <v>1.125</v>
      </c>
      <c r="AD31" s="9">
        <v>0.64349999999999996</v>
      </c>
      <c r="AE31" s="9">
        <v>0.17977499999999999</v>
      </c>
      <c r="AF31" s="9">
        <v>5.67E-2</v>
      </c>
      <c r="AG31" s="9">
        <v>0.22275</v>
      </c>
      <c r="AH31" s="9">
        <v>0.18881999999999999</v>
      </c>
      <c r="AI31" s="9">
        <v>0</v>
      </c>
      <c r="AJ31" s="9">
        <v>0</v>
      </c>
      <c r="AK31" s="9">
        <v>0</v>
      </c>
      <c r="AL31" s="9">
        <v>0</v>
      </c>
      <c r="AM31" s="9">
        <v>0</v>
      </c>
      <c r="AN31" s="9">
        <v>0</v>
      </c>
      <c r="AO31" s="9">
        <v>2.1100000000000001E-2</v>
      </c>
      <c r="AP31" s="9">
        <v>1.4500000000000001E-2</v>
      </c>
      <c r="AQ31" s="9">
        <v>0.66</v>
      </c>
      <c r="AR31" s="9">
        <v>0.8</v>
      </c>
      <c r="AS31" s="9">
        <v>1.1000000000000001</v>
      </c>
      <c r="AT31" s="9">
        <v>0</v>
      </c>
      <c r="AU31" s="9">
        <v>1.65</v>
      </c>
      <c r="AV31" s="9">
        <v>3.3</v>
      </c>
      <c r="AW31" s="9">
        <v>0</v>
      </c>
      <c r="AX31" s="9">
        <v>0</v>
      </c>
      <c r="AY31" s="9">
        <v>0</v>
      </c>
      <c r="AZ31" s="9">
        <v>0</v>
      </c>
      <c r="BA31" s="9">
        <v>0</v>
      </c>
      <c r="BB31" s="9">
        <v>0</v>
      </c>
      <c r="BC31" s="9">
        <v>1.39</v>
      </c>
      <c r="BD31" s="9"/>
      <c r="BE31" s="9">
        <v>9.33</v>
      </c>
      <c r="BF31" s="9">
        <v>6.43</v>
      </c>
      <c r="BG31" s="9">
        <v>5.67</v>
      </c>
      <c r="BH31" s="9">
        <v>0.8</v>
      </c>
      <c r="BI31" s="9"/>
      <c r="BJ31" s="9"/>
      <c r="BK31" s="9">
        <v>9.94</v>
      </c>
      <c r="BL31" s="9">
        <v>40.6</v>
      </c>
      <c r="BM31" s="9">
        <v>37.200000000000003</v>
      </c>
      <c r="BN31" s="9">
        <v>0.10199999999999999</v>
      </c>
      <c r="BO31" s="9">
        <v>9.89</v>
      </c>
      <c r="BP31" s="9">
        <v>46.1</v>
      </c>
      <c r="BQ31" s="9"/>
      <c r="BR31" s="9">
        <v>0.72199999999999998</v>
      </c>
      <c r="BS31" s="9"/>
      <c r="BT31" s="9"/>
      <c r="BU31" s="9">
        <v>374</v>
      </c>
      <c r="BV31" s="9">
        <v>0</v>
      </c>
      <c r="BW31" s="9">
        <v>0.17499999999999999</v>
      </c>
      <c r="BX31" s="9">
        <v>0</v>
      </c>
    </row>
    <row r="32" spans="1:76" x14ac:dyDescent="0.3">
      <c r="A32" s="5" t="s">
        <v>132</v>
      </c>
      <c r="B32" s="11" t="s">
        <v>118</v>
      </c>
      <c r="C32" s="11" t="str">
        <f t="shared" si="0"/>
        <v>12,1955-1960</v>
      </c>
      <c r="D32" s="6">
        <v>4.22</v>
      </c>
      <c r="E32" s="6">
        <v>11.025</v>
      </c>
      <c r="F32" s="6">
        <v>16.600000000000001</v>
      </c>
      <c r="G32" s="6">
        <v>12.8</v>
      </c>
      <c r="H32" s="6">
        <v>6.54</v>
      </c>
      <c r="I32" s="6">
        <v>1.99</v>
      </c>
      <c r="J32" s="6">
        <v>1.22</v>
      </c>
      <c r="K32" s="6">
        <v>9.57</v>
      </c>
      <c r="L32" s="6">
        <v>3.375</v>
      </c>
      <c r="M32" s="6">
        <v>480</v>
      </c>
      <c r="N32" s="6">
        <v>240</v>
      </c>
      <c r="O32" s="6">
        <v>250</v>
      </c>
      <c r="P32" s="6">
        <v>360</v>
      </c>
      <c r="Q32" s="6">
        <v>4</v>
      </c>
      <c r="R32" s="6">
        <v>0</v>
      </c>
      <c r="S32" s="6">
        <v>240</v>
      </c>
      <c r="T32" s="6">
        <v>2160</v>
      </c>
      <c r="U32" s="6">
        <v>12</v>
      </c>
      <c r="V32" s="6">
        <v>14.805</v>
      </c>
      <c r="W32" s="6">
        <v>46.8</v>
      </c>
      <c r="X32" s="6">
        <v>33.795000000000002</v>
      </c>
      <c r="Y32" s="6">
        <v>24.434999999999999</v>
      </c>
      <c r="Z32" s="6">
        <v>1.2869999999999999</v>
      </c>
      <c r="AA32" s="6">
        <v>2.9249999999999998</v>
      </c>
      <c r="AB32" s="6">
        <v>6.66</v>
      </c>
      <c r="AC32" s="6">
        <v>1.125</v>
      </c>
      <c r="AD32" s="6">
        <v>0.64349999999999996</v>
      </c>
      <c r="AE32" s="6">
        <v>0.17977499999999999</v>
      </c>
      <c r="AF32" s="6">
        <v>5.67E-2</v>
      </c>
      <c r="AG32" s="6">
        <v>0.22275</v>
      </c>
      <c r="AH32" s="6">
        <v>0.18881999999999999</v>
      </c>
      <c r="AI32" s="6">
        <v>0</v>
      </c>
      <c r="AJ32" s="6">
        <v>0</v>
      </c>
      <c r="AK32" s="6">
        <v>0</v>
      </c>
      <c r="AL32" s="6">
        <v>0</v>
      </c>
      <c r="AM32" s="6">
        <v>0</v>
      </c>
      <c r="AN32" s="6">
        <v>0</v>
      </c>
      <c r="AO32" s="6">
        <v>0.10199999999999999</v>
      </c>
      <c r="AP32" s="6">
        <v>6.9900000000000004E-2</v>
      </c>
      <c r="AQ32" s="6">
        <v>0.66</v>
      </c>
      <c r="AR32" s="6">
        <v>0.8</v>
      </c>
      <c r="AS32" s="6">
        <v>1.1000000000000001</v>
      </c>
      <c r="AT32" s="6">
        <v>0</v>
      </c>
      <c r="AU32" s="6">
        <v>1.65</v>
      </c>
      <c r="AV32" s="6">
        <v>3.3</v>
      </c>
      <c r="AW32" s="6">
        <v>1.3</v>
      </c>
      <c r="AX32" s="6">
        <v>16.399999999999999</v>
      </c>
      <c r="AY32" s="6">
        <v>0.16</v>
      </c>
      <c r="AZ32" s="6">
        <v>0.10299999999999999</v>
      </c>
      <c r="BA32" s="6">
        <v>4.2799999999999998E-2</v>
      </c>
      <c r="BB32" s="6">
        <v>1.46E-2</v>
      </c>
      <c r="BC32" s="6">
        <v>2.08</v>
      </c>
      <c r="BD32" s="6"/>
      <c r="BE32" s="6">
        <v>14</v>
      </c>
      <c r="BF32" s="6">
        <v>9.65</v>
      </c>
      <c r="BG32" s="6">
        <v>8.5</v>
      </c>
      <c r="BH32" s="6">
        <v>1.2</v>
      </c>
      <c r="BI32" s="6"/>
      <c r="BJ32" s="6"/>
      <c r="BK32" s="6">
        <v>7.46</v>
      </c>
      <c r="BL32" s="6">
        <v>30.5</v>
      </c>
      <c r="BM32" s="6">
        <v>27.9</v>
      </c>
      <c r="BN32" s="6">
        <v>7.6200000000000004E-2</v>
      </c>
      <c r="BO32" s="6">
        <v>11.1</v>
      </c>
      <c r="BP32" s="6">
        <v>51.9</v>
      </c>
      <c r="BQ32" s="6"/>
      <c r="BR32" s="6">
        <v>0.81200000000000006</v>
      </c>
      <c r="BS32" s="6"/>
      <c r="BT32" s="6"/>
      <c r="BU32" s="6">
        <v>413</v>
      </c>
      <c r="BV32" s="6">
        <v>1.4999999999999999E-2</v>
      </c>
      <c r="BW32" s="6">
        <v>0.17499999999999999</v>
      </c>
      <c r="BX32" s="6">
        <v>0</v>
      </c>
    </row>
    <row r="33" spans="1:76" x14ac:dyDescent="0.3">
      <c r="A33" s="8" t="s">
        <v>132</v>
      </c>
      <c r="B33" s="12" t="s">
        <v>119</v>
      </c>
      <c r="C33" s="12" t="str">
        <f t="shared" si="0"/>
        <v>12,1960-1965</v>
      </c>
      <c r="D33" s="9">
        <v>4.22</v>
      </c>
      <c r="E33" s="9">
        <v>11.025</v>
      </c>
      <c r="F33" s="9">
        <v>16.600000000000001</v>
      </c>
      <c r="G33" s="9">
        <v>12.8</v>
      </c>
      <c r="H33" s="9">
        <v>6.54</v>
      </c>
      <c r="I33" s="9">
        <v>1.99</v>
      </c>
      <c r="J33" s="9">
        <v>1.22</v>
      </c>
      <c r="K33" s="9">
        <v>9.57</v>
      </c>
      <c r="L33" s="9">
        <v>3.375</v>
      </c>
      <c r="M33" s="9">
        <v>480</v>
      </c>
      <c r="N33" s="9">
        <v>240</v>
      </c>
      <c r="O33" s="9">
        <v>251</v>
      </c>
      <c r="P33" s="9">
        <v>360</v>
      </c>
      <c r="Q33" s="9">
        <v>4</v>
      </c>
      <c r="R33" s="9">
        <v>5</v>
      </c>
      <c r="S33" s="9">
        <v>240</v>
      </c>
      <c r="T33" s="9">
        <v>1800</v>
      </c>
      <c r="U33" s="9">
        <v>12</v>
      </c>
      <c r="V33" s="9">
        <v>14.805</v>
      </c>
      <c r="W33" s="9">
        <v>40</v>
      </c>
      <c r="X33" s="9">
        <v>33.795000000000002</v>
      </c>
      <c r="Y33" s="9">
        <v>24.434999999999999</v>
      </c>
      <c r="Z33" s="9">
        <v>1.2869999999999999</v>
      </c>
      <c r="AA33" s="9">
        <v>2.9249999999999998</v>
      </c>
      <c r="AB33" s="9">
        <v>6.66</v>
      </c>
      <c r="AC33" s="9">
        <v>1.125</v>
      </c>
      <c r="AD33" s="9">
        <v>0.64349999999999996</v>
      </c>
      <c r="AE33" s="9">
        <v>0.17977499999999999</v>
      </c>
      <c r="AF33" s="9">
        <v>5.67E-2</v>
      </c>
      <c r="AG33" s="9">
        <v>0.22275</v>
      </c>
      <c r="AH33" s="9">
        <v>0.18881999999999999</v>
      </c>
      <c r="AI33" s="9">
        <v>0</v>
      </c>
      <c r="AJ33" s="9">
        <v>0</v>
      </c>
      <c r="AK33" s="9">
        <v>0</v>
      </c>
      <c r="AL33" s="9">
        <v>0</v>
      </c>
      <c r="AM33" s="9">
        <v>8.1300000000000001E-3</v>
      </c>
      <c r="AN33" s="9">
        <v>8.1300000000000001E-3</v>
      </c>
      <c r="AO33" s="9">
        <v>0.186</v>
      </c>
      <c r="AP33" s="9">
        <v>0.128</v>
      </c>
      <c r="AQ33" s="9">
        <v>0.66</v>
      </c>
      <c r="AR33" s="9">
        <v>0.8</v>
      </c>
      <c r="AS33" s="9">
        <v>1.1000000000000001</v>
      </c>
      <c r="AT33" s="9">
        <v>0</v>
      </c>
      <c r="AU33" s="9">
        <v>1.65</v>
      </c>
      <c r="AV33" s="9">
        <v>3.3</v>
      </c>
      <c r="AW33" s="9">
        <v>2.6</v>
      </c>
      <c r="AX33" s="9">
        <v>32.799999999999997</v>
      </c>
      <c r="AY33" s="9">
        <v>0.32</v>
      </c>
      <c r="AZ33" s="9">
        <v>0.20599999999999999</v>
      </c>
      <c r="BA33" s="9">
        <v>8.5500000000000007E-2</v>
      </c>
      <c r="BB33" s="9">
        <v>2.92E-2</v>
      </c>
      <c r="BC33" s="9">
        <v>2.77</v>
      </c>
      <c r="BD33" s="9"/>
      <c r="BE33" s="9">
        <v>18.7</v>
      </c>
      <c r="BF33" s="9">
        <v>12.9</v>
      </c>
      <c r="BG33" s="9">
        <v>11.3</v>
      </c>
      <c r="BH33" s="9">
        <v>1.6</v>
      </c>
      <c r="BI33" s="9"/>
      <c r="BJ33" s="9"/>
      <c r="BK33" s="9">
        <v>4.97</v>
      </c>
      <c r="BL33" s="9">
        <v>20.3</v>
      </c>
      <c r="BM33" s="9">
        <v>18.600000000000001</v>
      </c>
      <c r="BN33" s="9">
        <v>5.0799999999999998E-2</v>
      </c>
      <c r="BO33" s="9">
        <v>12.4</v>
      </c>
      <c r="BP33" s="9">
        <v>57.6</v>
      </c>
      <c r="BQ33" s="9"/>
      <c r="BR33" s="9">
        <v>0.90300000000000002</v>
      </c>
      <c r="BS33" s="9"/>
      <c r="BT33" s="9"/>
      <c r="BU33" s="9">
        <v>438</v>
      </c>
      <c r="BV33" s="9">
        <v>4.3299999999999998E-2</v>
      </c>
      <c r="BW33" s="9">
        <v>0.17499999999999999</v>
      </c>
      <c r="BX33" s="9">
        <v>0</v>
      </c>
    </row>
    <row r="34" spans="1:76" x14ac:dyDescent="0.3">
      <c r="A34" s="5" t="s">
        <v>132</v>
      </c>
      <c r="B34" s="11" t="s">
        <v>120</v>
      </c>
      <c r="C34" s="11" t="str">
        <f t="shared" si="0"/>
        <v>12,1965-1970</v>
      </c>
      <c r="D34" s="6">
        <v>4.22</v>
      </c>
      <c r="E34" s="6">
        <v>11.025</v>
      </c>
      <c r="F34" s="6">
        <v>16.600000000000001</v>
      </c>
      <c r="G34" s="6">
        <v>12.8</v>
      </c>
      <c r="H34" s="6">
        <v>6.54</v>
      </c>
      <c r="I34" s="6">
        <v>1.99</v>
      </c>
      <c r="J34" s="6">
        <v>1.22</v>
      </c>
      <c r="K34" s="6">
        <v>9.57</v>
      </c>
      <c r="L34" s="6">
        <v>3.375</v>
      </c>
      <c r="M34" s="6">
        <v>480</v>
      </c>
      <c r="N34" s="6">
        <v>240</v>
      </c>
      <c r="O34" s="6">
        <v>278</v>
      </c>
      <c r="P34" s="6">
        <v>360</v>
      </c>
      <c r="Q34" s="6">
        <v>4</v>
      </c>
      <c r="R34" s="6">
        <v>5</v>
      </c>
      <c r="S34" s="6">
        <v>240</v>
      </c>
      <c r="T34" s="6">
        <v>1800</v>
      </c>
      <c r="U34" s="6">
        <v>12</v>
      </c>
      <c r="V34" s="6">
        <v>14.805</v>
      </c>
      <c r="W34" s="6">
        <v>33.200000000000003</v>
      </c>
      <c r="X34" s="6">
        <v>33.795000000000002</v>
      </c>
      <c r="Y34" s="6">
        <v>24.434999999999999</v>
      </c>
      <c r="Z34" s="6">
        <v>1.2869999999999999</v>
      </c>
      <c r="AA34" s="6">
        <v>2.9249999999999998</v>
      </c>
      <c r="AB34" s="6">
        <v>6.66</v>
      </c>
      <c r="AC34" s="6">
        <v>1.125</v>
      </c>
      <c r="AD34" s="6">
        <v>0.64349999999999996</v>
      </c>
      <c r="AE34" s="6">
        <v>0.17977499999999999</v>
      </c>
      <c r="AF34" s="6">
        <v>5.67E-2</v>
      </c>
      <c r="AG34" s="6">
        <v>0.22275</v>
      </c>
      <c r="AH34" s="6">
        <v>0.18881999999999999</v>
      </c>
      <c r="AI34" s="6">
        <v>0</v>
      </c>
      <c r="AJ34" s="6">
        <v>0</v>
      </c>
      <c r="AK34" s="6">
        <v>0</v>
      </c>
      <c r="AL34" s="6">
        <v>0</v>
      </c>
      <c r="AM34" s="6">
        <v>2.3900000000000001E-2</v>
      </c>
      <c r="AN34" s="6">
        <v>2.3900000000000001E-2</v>
      </c>
      <c r="AO34" s="6">
        <v>0.27</v>
      </c>
      <c r="AP34" s="6">
        <v>0.185</v>
      </c>
      <c r="AQ34" s="6">
        <v>0.66</v>
      </c>
      <c r="AR34" s="6">
        <v>0.8</v>
      </c>
      <c r="AS34" s="6">
        <v>1.1000000000000001</v>
      </c>
      <c r="AT34" s="6">
        <v>0</v>
      </c>
      <c r="AU34" s="6">
        <v>1.65</v>
      </c>
      <c r="AV34" s="6">
        <v>3.3</v>
      </c>
      <c r="AW34" s="6">
        <v>3.9</v>
      </c>
      <c r="AX34" s="6">
        <v>49.1</v>
      </c>
      <c r="AY34" s="6">
        <v>0.48</v>
      </c>
      <c r="AZ34" s="6">
        <v>0.308</v>
      </c>
      <c r="BA34" s="6">
        <v>0.128</v>
      </c>
      <c r="BB34" s="6">
        <v>4.3900000000000002E-2</v>
      </c>
      <c r="BC34" s="6">
        <v>3.47</v>
      </c>
      <c r="BD34" s="6"/>
      <c r="BE34" s="6">
        <v>23.3</v>
      </c>
      <c r="BF34" s="6">
        <v>16.100000000000001</v>
      </c>
      <c r="BG34" s="6">
        <v>14.2</v>
      </c>
      <c r="BH34" s="6">
        <v>2</v>
      </c>
      <c r="BI34" s="6"/>
      <c r="BJ34" s="6"/>
      <c r="BK34" s="6">
        <v>2.4900000000000002</v>
      </c>
      <c r="BL34" s="6">
        <v>10.199999999999999</v>
      </c>
      <c r="BM34" s="6">
        <v>9.3000000000000007</v>
      </c>
      <c r="BN34" s="6">
        <v>2.5399999999999999E-2</v>
      </c>
      <c r="BO34" s="6">
        <v>13.6</v>
      </c>
      <c r="BP34" s="6">
        <v>63.4</v>
      </c>
      <c r="BQ34" s="6"/>
      <c r="BR34" s="6">
        <v>0.99299999999999999</v>
      </c>
      <c r="BS34" s="6"/>
      <c r="BT34" s="6"/>
      <c r="BU34" s="6">
        <v>462</v>
      </c>
      <c r="BV34" s="6">
        <v>7.17E-2</v>
      </c>
      <c r="BW34" s="6">
        <v>0.17499999999999999</v>
      </c>
      <c r="BX34" s="6">
        <v>0</v>
      </c>
    </row>
    <row r="35" spans="1:76" x14ac:dyDescent="0.3">
      <c r="A35" s="8" t="s">
        <v>132</v>
      </c>
      <c r="B35" s="12" t="s">
        <v>121</v>
      </c>
      <c r="C35" s="12" t="str">
        <f t="shared" si="0"/>
        <v>12,1970-1975</v>
      </c>
      <c r="D35" s="9">
        <v>4.22</v>
      </c>
      <c r="E35" s="9">
        <v>11.025</v>
      </c>
      <c r="F35" s="9">
        <v>16.600000000000001</v>
      </c>
      <c r="G35" s="9">
        <v>12.8</v>
      </c>
      <c r="H35" s="9">
        <v>6.54</v>
      </c>
      <c r="I35" s="9">
        <v>1.99</v>
      </c>
      <c r="J35" s="9">
        <v>1.22</v>
      </c>
      <c r="K35" s="9">
        <v>9.57</v>
      </c>
      <c r="L35" s="9">
        <v>3.375</v>
      </c>
      <c r="M35" s="9">
        <v>480</v>
      </c>
      <c r="N35" s="9">
        <v>240</v>
      </c>
      <c r="O35" s="9">
        <v>240</v>
      </c>
      <c r="P35" s="9">
        <v>360</v>
      </c>
      <c r="Q35" s="9">
        <v>4</v>
      </c>
      <c r="R35" s="9">
        <v>5</v>
      </c>
      <c r="S35" s="9">
        <v>240</v>
      </c>
      <c r="T35" s="9">
        <v>1800</v>
      </c>
      <c r="U35" s="9">
        <v>12</v>
      </c>
      <c r="V35" s="9">
        <v>14.805</v>
      </c>
      <c r="W35" s="9">
        <v>26.4</v>
      </c>
      <c r="X35" s="9">
        <v>33.795000000000002</v>
      </c>
      <c r="Y35" s="9">
        <v>24.434999999999999</v>
      </c>
      <c r="Z35" s="9">
        <v>1.2869999999999999</v>
      </c>
      <c r="AA35" s="9">
        <v>2.9249999999999998</v>
      </c>
      <c r="AB35" s="9">
        <v>6.66</v>
      </c>
      <c r="AC35" s="9">
        <v>1.125</v>
      </c>
      <c r="AD35" s="9">
        <v>0.64349999999999996</v>
      </c>
      <c r="AE35" s="9">
        <v>0.17977499999999999</v>
      </c>
      <c r="AF35" s="9">
        <v>5.67E-2</v>
      </c>
      <c r="AG35" s="9">
        <v>0.22275</v>
      </c>
      <c r="AH35" s="9">
        <v>0.18881999999999999</v>
      </c>
      <c r="AI35" s="9">
        <v>0.14248</v>
      </c>
      <c r="AJ35" s="9">
        <v>2.5000000000000001E-2</v>
      </c>
      <c r="AK35" s="9">
        <v>0.67884999999999995</v>
      </c>
      <c r="AL35" s="9">
        <v>10.23</v>
      </c>
      <c r="AM35" s="9">
        <v>3.9600000000000003E-2</v>
      </c>
      <c r="AN35" s="9">
        <v>3.9600000000000003E-2</v>
      </c>
      <c r="AO35" s="9">
        <v>0.35399999999999998</v>
      </c>
      <c r="AP35" s="9">
        <v>0.24299999999999999</v>
      </c>
      <c r="AQ35" s="9">
        <v>0.66</v>
      </c>
      <c r="AR35" s="9">
        <v>0.8</v>
      </c>
      <c r="AS35" s="9">
        <v>1.1000000000000001</v>
      </c>
      <c r="AT35" s="9">
        <v>0</v>
      </c>
      <c r="AU35" s="9">
        <v>1.65</v>
      </c>
      <c r="AV35" s="9">
        <v>3.3</v>
      </c>
      <c r="AW35" s="9">
        <v>5.2</v>
      </c>
      <c r="AX35" s="9">
        <v>65.5</v>
      </c>
      <c r="AY35" s="9">
        <v>0.64</v>
      </c>
      <c r="AZ35" s="9">
        <v>0.41099999999999998</v>
      </c>
      <c r="BA35" s="9">
        <v>0.17100000000000001</v>
      </c>
      <c r="BB35" s="9">
        <v>5.8500000000000003E-2</v>
      </c>
      <c r="BC35" s="9">
        <v>4.16</v>
      </c>
      <c r="BD35" s="9">
        <v>0</v>
      </c>
      <c r="BE35" s="9">
        <v>28</v>
      </c>
      <c r="BF35" s="9">
        <v>19.3</v>
      </c>
      <c r="BG35" s="9">
        <v>17</v>
      </c>
      <c r="BH35" s="9">
        <v>2.4</v>
      </c>
      <c r="BI35" s="9">
        <v>0</v>
      </c>
      <c r="BJ35" s="9">
        <v>0</v>
      </c>
      <c r="BK35" s="9">
        <v>0.497</v>
      </c>
      <c r="BL35" s="9">
        <v>2.0299999999999998</v>
      </c>
      <c r="BM35" s="9">
        <v>1.86</v>
      </c>
      <c r="BN35" s="9">
        <v>5.0800000000000003E-3</v>
      </c>
      <c r="BO35" s="9">
        <v>17.8</v>
      </c>
      <c r="BP35" s="9">
        <v>83</v>
      </c>
      <c r="BQ35" s="9">
        <v>0</v>
      </c>
      <c r="BR35" s="9">
        <v>1.3</v>
      </c>
      <c r="BS35" s="9">
        <v>0</v>
      </c>
      <c r="BT35" s="9">
        <v>0</v>
      </c>
      <c r="BU35" s="9">
        <v>486</v>
      </c>
      <c r="BV35" s="9">
        <v>0.1</v>
      </c>
      <c r="BW35" s="9">
        <v>0.17499999999999999</v>
      </c>
      <c r="BX35" s="9">
        <v>0</v>
      </c>
    </row>
    <row r="36" spans="1:76" x14ac:dyDescent="0.3">
      <c r="A36" s="5" t="s">
        <v>132</v>
      </c>
      <c r="B36" s="11" t="s">
        <v>122</v>
      </c>
      <c r="C36" s="11" t="str">
        <f t="shared" si="0"/>
        <v>12,1975-1980</v>
      </c>
      <c r="D36" s="6">
        <v>4.2</v>
      </c>
      <c r="E36" s="6">
        <v>11.025</v>
      </c>
      <c r="F36" s="6">
        <v>17.100000000000001</v>
      </c>
      <c r="G36" s="6">
        <v>13.4</v>
      </c>
      <c r="H36" s="6">
        <v>4.8</v>
      </c>
      <c r="I36" s="6">
        <v>2.15</v>
      </c>
      <c r="J36" s="6">
        <v>1.28</v>
      </c>
      <c r="K36" s="6">
        <v>8.4700000000000006</v>
      </c>
      <c r="L36" s="6">
        <v>3.375</v>
      </c>
      <c r="M36" s="6">
        <v>480</v>
      </c>
      <c r="N36" s="6">
        <v>192</v>
      </c>
      <c r="O36" s="6">
        <v>240</v>
      </c>
      <c r="P36" s="6">
        <v>360</v>
      </c>
      <c r="Q36" s="6">
        <v>4</v>
      </c>
      <c r="R36" s="6">
        <v>5</v>
      </c>
      <c r="S36" s="6">
        <v>240</v>
      </c>
      <c r="T36" s="6">
        <v>1800</v>
      </c>
      <c r="U36" s="6">
        <v>12</v>
      </c>
      <c r="V36" s="6">
        <v>14.805</v>
      </c>
      <c r="W36" s="6">
        <v>26.4</v>
      </c>
      <c r="X36" s="6">
        <v>33.795000000000002</v>
      </c>
      <c r="Y36" s="6">
        <v>24.434999999999999</v>
      </c>
      <c r="Z36" s="6">
        <v>1.2869999999999999</v>
      </c>
      <c r="AA36" s="6">
        <v>2.9249999999999998</v>
      </c>
      <c r="AB36" s="6">
        <v>6.66</v>
      </c>
      <c r="AC36" s="6">
        <v>1.125</v>
      </c>
      <c r="AD36" s="6">
        <v>0.64349999999999996</v>
      </c>
      <c r="AE36" s="6">
        <v>0.17977499999999999</v>
      </c>
      <c r="AF36" s="6">
        <v>5.67E-2</v>
      </c>
      <c r="AG36" s="6">
        <v>0.22275</v>
      </c>
      <c r="AH36" s="6">
        <v>0.18881999999999999</v>
      </c>
      <c r="AI36" s="6">
        <v>0.14248</v>
      </c>
      <c r="AJ36" s="6">
        <v>2.5000000000000001E-2</v>
      </c>
      <c r="AK36" s="6">
        <v>0.67884999999999995</v>
      </c>
      <c r="AL36" s="6">
        <v>10.23</v>
      </c>
      <c r="AM36" s="6">
        <v>5.5399999999999998E-2</v>
      </c>
      <c r="AN36" s="6">
        <v>5.5399999999999998E-2</v>
      </c>
      <c r="AO36" s="6">
        <v>0.438</v>
      </c>
      <c r="AP36" s="6">
        <v>0.3</v>
      </c>
      <c r="AQ36" s="6">
        <v>0.66</v>
      </c>
      <c r="AR36" s="6">
        <v>0</v>
      </c>
      <c r="AS36" s="6">
        <v>1.1000000000000001</v>
      </c>
      <c r="AT36" s="6">
        <v>0</v>
      </c>
      <c r="AU36" s="6">
        <v>1.65</v>
      </c>
      <c r="AV36" s="6">
        <v>3.3</v>
      </c>
      <c r="AW36" s="6">
        <v>5.64</v>
      </c>
      <c r="AX36" s="6">
        <v>78.900000000000006</v>
      </c>
      <c r="AY36" s="6">
        <v>0.628</v>
      </c>
      <c r="AZ36" s="6">
        <v>0.44500000000000001</v>
      </c>
      <c r="BA36" s="6">
        <v>0.126</v>
      </c>
      <c r="BB36" s="6">
        <v>6.1199999999999997E-2</v>
      </c>
      <c r="BC36" s="6">
        <v>4.51</v>
      </c>
      <c r="BD36" s="6">
        <v>0</v>
      </c>
      <c r="BE36" s="6">
        <v>27.5</v>
      </c>
      <c r="BF36" s="6">
        <v>20.9</v>
      </c>
      <c r="BG36" s="6">
        <v>12.5</v>
      </c>
      <c r="BH36" s="6">
        <v>3.16</v>
      </c>
      <c r="BI36" s="6">
        <v>0</v>
      </c>
      <c r="BJ36" s="6">
        <v>0</v>
      </c>
      <c r="BK36" s="6">
        <v>1.1000000000000001</v>
      </c>
      <c r="BL36" s="6">
        <v>3.71</v>
      </c>
      <c r="BM36" s="6">
        <v>3.07</v>
      </c>
      <c r="BN36" s="6">
        <v>1.18E-2</v>
      </c>
      <c r="BO36" s="6">
        <v>24.3</v>
      </c>
      <c r="BP36" s="6">
        <v>100</v>
      </c>
      <c r="BQ36" s="6">
        <v>0</v>
      </c>
      <c r="BR36" s="6">
        <v>1.41</v>
      </c>
      <c r="BS36" s="6">
        <v>0</v>
      </c>
      <c r="BT36" s="6">
        <v>0</v>
      </c>
      <c r="BU36" s="6">
        <v>510</v>
      </c>
      <c r="BV36" s="6">
        <v>0.128</v>
      </c>
      <c r="BW36" s="6">
        <v>0.17499999999999999</v>
      </c>
      <c r="BX36" s="6">
        <v>0.03</v>
      </c>
    </row>
    <row r="37" spans="1:76" x14ac:dyDescent="0.3">
      <c r="A37" s="8" t="s">
        <v>132</v>
      </c>
      <c r="B37" s="12" t="s">
        <v>123</v>
      </c>
      <c r="C37" s="12" t="str">
        <f t="shared" si="0"/>
        <v>12,1980-1985</v>
      </c>
      <c r="D37" s="9">
        <v>3.06</v>
      </c>
      <c r="E37" s="9">
        <v>11.025</v>
      </c>
      <c r="F37" s="9">
        <v>20</v>
      </c>
      <c r="G37" s="9">
        <v>14.2</v>
      </c>
      <c r="H37" s="9">
        <v>5.26</v>
      </c>
      <c r="I37" s="9">
        <v>2.2999999999999998</v>
      </c>
      <c r="J37" s="9">
        <v>1.4</v>
      </c>
      <c r="K37" s="9">
        <v>7.79</v>
      </c>
      <c r="L37" s="9">
        <v>3.375</v>
      </c>
      <c r="M37" s="9">
        <v>480</v>
      </c>
      <c r="N37" s="9">
        <v>192</v>
      </c>
      <c r="O37" s="9">
        <v>240</v>
      </c>
      <c r="P37" s="9">
        <v>360</v>
      </c>
      <c r="Q37" s="9">
        <v>4</v>
      </c>
      <c r="R37" s="9">
        <v>5</v>
      </c>
      <c r="S37" s="9">
        <v>240</v>
      </c>
      <c r="T37" s="9">
        <v>1800</v>
      </c>
      <c r="U37" s="9">
        <v>12</v>
      </c>
      <c r="V37" s="9">
        <v>14.805</v>
      </c>
      <c r="W37" s="9">
        <v>26.4</v>
      </c>
      <c r="X37" s="9">
        <v>33.795000000000002</v>
      </c>
      <c r="Y37" s="9">
        <v>24.434999999999999</v>
      </c>
      <c r="Z37" s="9">
        <v>1.2869999999999999</v>
      </c>
      <c r="AA37" s="9">
        <v>2.9249999999999998</v>
      </c>
      <c r="AB37" s="9">
        <v>6.66</v>
      </c>
      <c r="AC37" s="9">
        <v>1.125</v>
      </c>
      <c r="AD37" s="9">
        <v>0.64349999999999996</v>
      </c>
      <c r="AE37" s="9">
        <v>0.17977499999999999</v>
      </c>
      <c r="AF37" s="9">
        <v>5.67E-2</v>
      </c>
      <c r="AG37" s="9">
        <v>0.22275</v>
      </c>
      <c r="AH37" s="9">
        <v>0.18881999999999999</v>
      </c>
      <c r="AI37" s="9">
        <v>0.14248</v>
      </c>
      <c r="AJ37" s="9">
        <v>2.5000000000000001E-2</v>
      </c>
      <c r="AK37" s="9">
        <v>0.67884999999999995</v>
      </c>
      <c r="AL37" s="9">
        <v>10.23</v>
      </c>
      <c r="AM37" s="9">
        <v>7.1099999999999997E-2</v>
      </c>
      <c r="AN37" s="9">
        <v>7.1099999999999997E-2</v>
      </c>
      <c r="AO37" s="9">
        <v>0.52200000000000002</v>
      </c>
      <c r="AP37" s="9">
        <v>0.35799999999999998</v>
      </c>
      <c r="AQ37" s="9">
        <v>0.66</v>
      </c>
      <c r="AR37" s="9">
        <v>0</v>
      </c>
      <c r="AS37" s="9">
        <v>1.65</v>
      </c>
      <c r="AT37" s="9">
        <v>0</v>
      </c>
      <c r="AU37" s="9">
        <v>1.65</v>
      </c>
      <c r="AV37" s="9">
        <v>6.6</v>
      </c>
      <c r="AW37" s="9">
        <v>6.01</v>
      </c>
      <c r="AX37" s="9">
        <v>67.400000000000006</v>
      </c>
      <c r="AY37" s="9">
        <v>0.69699999999999995</v>
      </c>
      <c r="AZ37" s="9">
        <v>0.47599999999999998</v>
      </c>
      <c r="BA37" s="9">
        <v>0.13800000000000001</v>
      </c>
      <c r="BB37" s="9">
        <v>6.4600000000000005E-2</v>
      </c>
      <c r="BC37" s="9">
        <v>4.8099999999999996</v>
      </c>
      <c r="BD37" s="9">
        <v>0</v>
      </c>
      <c r="BE37" s="9">
        <v>30.5</v>
      </c>
      <c r="BF37" s="9">
        <v>22.3</v>
      </c>
      <c r="BG37" s="9">
        <v>13.7</v>
      </c>
      <c r="BH37" s="9">
        <v>3.83</v>
      </c>
      <c r="BI37" s="9">
        <v>0</v>
      </c>
      <c r="BJ37" s="9">
        <v>0</v>
      </c>
      <c r="BK37" s="9">
        <v>1.69</v>
      </c>
      <c r="BL37" s="9">
        <v>5.0999999999999996</v>
      </c>
      <c r="BM37" s="9">
        <v>4.67</v>
      </c>
      <c r="BN37" s="9">
        <v>1.7399999999999999E-2</v>
      </c>
      <c r="BO37" s="9">
        <v>29.7</v>
      </c>
      <c r="BP37" s="9">
        <v>85.4</v>
      </c>
      <c r="BQ37" s="9">
        <v>0</v>
      </c>
      <c r="BR37" s="9">
        <v>1.5</v>
      </c>
      <c r="BS37" s="9">
        <v>0</v>
      </c>
      <c r="BT37" s="9">
        <v>0</v>
      </c>
      <c r="BU37" s="9">
        <v>510</v>
      </c>
      <c r="BV37" s="9">
        <v>0.157</v>
      </c>
      <c r="BW37" s="9">
        <v>0.17499999999999999</v>
      </c>
      <c r="BX37" s="9">
        <v>0.06</v>
      </c>
    </row>
    <row r="38" spans="1:76" x14ac:dyDescent="0.3">
      <c r="A38" s="5" t="s">
        <v>132</v>
      </c>
      <c r="B38" s="11" t="s">
        <v>124</v>
      </c>
      <c r="C38" s="11" t="str">
        <f t="shared" si="0"/>
        <v>12,1985-1990</v>
      </c>
      <c r="D38" s="6">
        <v>2.6</v>
      </c>
      <c r="E38" s="6">
        <v>6.93</v>
      </c>
      <c r="F38" s="6">
        <v>24.2</v>
      </c>
      <c r="G38" s="6">
        <v>18</v>
      </c>
      <c r="H38" s="6">
        <v>6.62</v>
      </c>
      <c r="I38" s="6">
        <v>2.94</v>
      </c>
      <c r="J38" s="6">
        <v>1.81</v>
      </c>
      <c r="K38" s="6">
        <v>8.0299999999999994</v>
      </c>
      <c r="L38" s="6">
        <v>3.375</v>
      </c>
      <c r="M38" s="6">
        <v>480</v>
      </c>
      <c r="N38" s="6">
        <v>192</v>
      </c>
      <c r="O38" s="6">
        <v>240</v>
      </c>
      <c r="P38" s="6">
        <v>360</v>
      </c>
      <c r="Q38" s="6">
        <v>4</v>
      </c>
      <c r="R38" s="6">
        <v>5</v>
      </c>
      <c r="S38" s="6">
        <v>240</v>
      </c>
      <c r="T38" s="6">
        <v>1800</v>
      </c>
      <c r="U38" s="6">
        <v>12</v>
      </c>
      <c r="V38" s="6">
        <v>14.805</v>
      </c>
      <c r="W38" s="6">
        <v>26.4</v>
      </c>
      <c r="X38" s="6">
        <v>33.795000000000002</v>
      </c>
      <c r="Y38" s="6">
        <v>24.434999999999999</v>
      </c>
      <c r="Z38" s="6">
        <v>1.2869999999999999</v>
      </c>
      <c r="AA38" s="6">
        <v>2.9249999999999998</v>
      </c>
      <c r="AB38" s="6">
        <v>6.66</v>
      </c>
      <c r="AC38" s="6">
        <v>1.125</v>
      </c>
      <c r="AD38" s="6">
        <v>0.64349999999999996</v>
      </c>
      <c r="AE38" s="6">
        <v>0.17977499999999999</v>
      </c>
      <c r="AF38" s="6">
        <v>5.67E-2</v>
      </c>
      <c r="AG38" s="6">
        <v>0.22275</v>
      </c>
      <c r="AH38" s="6">
        <v>0.18881999999999999</v>
      </c>
      <c r="AI38" s="6">
        <v>0.14248</v>
      </c>
      <c r="AJ38" s="6">
        <v>2.5000000000000001E-2</v>
      </c>
      <c r="AK38" s="6">
        <v>0.67884999999999995</v>
      </c>
      <c r="AL38" s="6">
        <v>10.23</v>
      </c>
      <c r="AM38" s="6">
        <v>8.6900000000000005E-2</v>
      </c>
      <c r="AN38" s="6">
        <v>8.6900000000000005E-2</v>
      </c>
      <c r="AO38" s="6">
        <v>0.60599999999999998</v>
      </c>
      <c r="AP38" s="6">
        <v>0.41599999999999998</v>
      </c>
      <c r="AQ38" s="6">
        <v>0</v>
      </c>
      <c r="AR38" s="6">
        <v>0</v>
      </c>
      <c r="AS38" s="6">
        <v>1.65</v>
      </c>
      <c r="AT38" s="6">
        <v>0</v>
      </c>
      <c r="AU38" s="6">
        <v>1.65</v>
      </c>
      <c r="AV38" s="6">
        <v>6.6</v>
      </c>
      <c r="AW38" s="6">
        <v>7.66</v>
      </c>
      <c r="AX38" s="6">
        <v>66.7</v>
      </c>
      <c r="AY38" s="6">
        <v>0.91600000000000004</v>
      </c>
      <c r="AZ38" s="6">
        <v>0.60799999999999998</v>
      </c>
      <c r="BA38" s="6">
        <v>0.17399999999999999</v>
      </c>
      <c r="BB38" s="6">
        <v>8.1900000000000001E-2</v>
      </c>
      <c r="BC38" s="6">
        <v>6.13</v>
      </c>
      <c r="BD38" s="6">
        <v>0</v>
      </c>
      <c r="BE38" s="6">
        <v>40.1</v>
      </c>
      <c r="BF38" s="6">
        <v>28.5</v>
      </c>
      <c r="BG38" s="6">
        <v>17.3</v>
      </c>
      <c r="BH38" s="6">
        <v>5.33</v>
      </c>
      <c r="BI38" s="6">
        <v>0</v>
      </c>
      <c r="BJ38" s="6">
        <v>0</v>
      </c>
      <c r="BK38" s="6">
        <v>2.7</v>
      </c>
      <c r="BL38" s="6">
        <v>7.61</v>
      </c>
      <c r="BM38" s="6">
        <v>7.16</v>
      </c>
      <c r="BN38" s="6">
        <v>2.69E-2</v>
      </c>
      <c r="BO38" s="6">
        <v>41.6</v>
      </c>
      <c r="BP38" s="6">
        <v>84.5</v>
      </c>
      <c r="BQ38" s="6">
        <v>0</v>
      </c>
      <c r="BR38" s="6">
        <v>1.92</v>
      </c>
      <c r="BS38" s="6">
        <v>0</v>
      </c>
      <c r="BT38" s="6">
        <v>0</v>
      </c>
      <c r="BU38" s="6">
        <v>510</v>
      </c>
      <c r="BV38" s="6">
        <v>0.185</v>
      </c>
      <c r="BW38" s="6">
        <v>0.17499999999999999</v>
      </c>
      <c r="BX38" s="6">
        <v>0.09</v>
      </c>
    </row>
    <row r="39" spans="1:76" x14ac:dyDescent="0.3">
      <c r="A39" s="8" t="s">
        <v>132</v>
      </c>
      <c r="B39" s="12" t="s">
        <v>125</v>
      </c>
      <c r="C39" s="12" t="str">
        <f t="shared" si="0"/>
        <v>12,1990-1995</v>
      </c>
      <c r="D39" s="9">
        <v>2.59</v>
      </c>
      <c r="E39" s="9">
        <v>6.93</v>
      </c>
      <c r="F39" s="9">
        <v>19.899999999999999</v>
      </c>
      <c r="G39" s="9">
        <v>14.6</v>
      </c>
      <c r="H39" s="9">
        <v>4.08</v>
      </c>
      <c r="I39" s="9">
        <v>2.4900000000000002</v>
      </c>
      <c r="J39" s="9">
        <v>1.49</v>
      </c>
      <c r="K39" s="9">
        <v>6.25</v>
      </c>
      <c r="L39" s="9">
        <v>3.375</v>
      </c>
      <c r="M39" s="9">
        <v>480</v>
      </c>
      <c r="N39" s="9">
        <v>192</v>
      </c>
      <c r="O39" s="9">
        <v>240</v>
      </c>
      <c r="P39" s="9">
        <v>360</v>
      </c>
      <c r="Q39" s="9">
        <v>4</v>
      </c>
      <c r="R39" s="9">
        <v>5</v>
      </c>
      <c r="S39" s="9">
        <v>240</v>
      </c>
      <c r="T39" s="9">
        <v>1800</v>
      </c>
      <c r="U39" s="9">
        <v>12</v>
      </c>
      <c r="V39" s="9">
        <v>14.805</v>
      </c>
      <c r="W39" s="9">
        <v>26.4</v>
      </c>
      <c r="X39" s="9">
        <v>33.795000000000002</v>
      </c>
      <c r="Y39" s="9">
        <v>24.434999999999999</v>
      </c>
      <c r="Z39" s="9">
        <v>1.2869999999999999</v>
      </c>
      <c r="AA39" s="9">
        <v>2.9249999999999998</v>
      </c>
      <c r="AB39" s="9">
        <v>6.66</v>
      </c>
      <c r="AC39" s="9">
        <v>1.125</v>
      </c>
      <c r="AD39" s="9">
        <v>0.64349999999999996</v>
      </c>
      <c r="AE39" s="9">
        <v>0.17977499999999999</v>
      </c>
      <c r="AF39" s="9">
        <v>5.67E-2</v>
      </c>
      <c r="AG39" s="9">
        <v>0.22275</v>
      </c>
      <c r="AH39" s="9">
        <v>0.18881999999999999</v>
      </c>
      <c r="AI39" s="9">
        <v>0.14248</v>
      </c>
      <c r="AJ39" s="9">
        <v>2.5000000000000001E-2</v>
      </c>
      <c r="AK39" s="9">
        <v>0.67884999999999995</v>
      </c>
      <c r="AL39" s="9">
        <v>10.23</v>
      </c>
      <c r="AM39" s="9">
        <v>0.10299999999999999</v>
      </c>
      <c r="AN39" s="9">
        <v>0.10299999999999999</v>
      </c>
      <c r="AO39" s="9">
        <v>0.69</v>
      </c>
      <c r="AP39" s="9">
        <v>0.47299999999999998</v>
      </c>
      <c r="AQ39" s="9">
        <v>0</v>
      </c>
      <c r="AR39" s="9">
        <v>0</v>
      </c>
      <c r="AS39" s="9">
        <v>2.2000000000000002</v>
      </c>
      <c r="AT39" s="9">
        <v>0.9</v>
      </c>
      <c r="AU39" s="9">
        <v>2.2000000000000002</v>
      </c>
      <c r="AV39" s="9">
        <v>6.6</v>
      </c>
      <c r="AW39" s="9">
        <v>5.82</v>
      </c>
      <c r="AX39" s="9">
        <v>62.5</v>
      </c>
      <c r="AY39" s="9">
        <v>0.66500000000000004</v>
      </c>
      <c r="AZ39" s="9">
        <v>0.46200000000000002</v>
      </c>
      <c r="BA39" s="9">
        <v>9.6299999999999997E-2</v>
      </c>
      <c r="BB39" s="9">
        <v>5.9900000000000002E-2</v>
      </c>
      <c r="BC39" s="9">
        <v>4.66</v>
      </c>
      <c r="BD39" s="9">
        <v>0</v>
      </c>
      <c r="BE39" s="9">
        <v>29.1</v>
      </c>
      <c r="BF39" s="9">
        <v>21.7</v>
      </c>
      <c r="BG39" s="9">
        <v>9.5399999999999991</v>
      </c>
      <c r="BH39" s="9">
        <v>4.05</v>
      </c>
      <c r="BI39" s="9">
        <v>0</v>
      </c>
      <c r="BJ39" s="9">
        <v>0</v>
      </c>
      <c r="BK39" s="9">
        <v>2.35</v>
      </c>
      <c r="BL39" s="9">
        <v>6.19</v>
      </c>
      <c r="BM39" s="9">
        <v>4.1900000000000004</v>
      </c>
      <c r="BN39" s="9">
        <v>1.6E-2</v>
      </c>
      <c r="BO39" s="9">
        <v>33</v>
      </c>
      <c r="BP39" s="9">
        <v>76.900000000000006</v>
      </c>
      <c r="BQ39" s="9">
        <v>0</v>
      </c>
      <c r="BR39" s="9">
        <v>1.41</v>
      </c>
      <c r="BS39" s="9">
        <v>0</v>
      </c>
      <c r="BT39" s="9">
        <v>0</v>
      </c>
      <c r="BU39" s="9">
        <v>510</v>
      </c>
      <c r="BV39" s="9">
        <v>0.185</v>
      </c>
      <c r="BW39" s="9">
        <v>8.7499999999999994E-2</v>
      </c>
      <c r="BX39" s="9">
        <v>0.12</v>
      </c>
    </row>
    <row r="40" spans="1:76" x14ac:dyDescent="0.3">
      <c r="A40" s="5" t="s">
        <v>132</v>
      </c>
      <c r="B40" s="11" t="s">
        <v>126</v>
      </c>
      <c r="C40" s="11" t="str">
        <f t="shared" si="0"/>
        <v>12,1995-2000</v>
      </c>
      <c r="D40" s="6">
        <v>1.92</v>
      </c>
      <c r="E40" s="6">
        <v>6.93</v>
      </c>
      <c r="F40" s="6">
        <v>24.4</v>
      </c>
      <c r="G40" s="6">
        <v>17.399999999999999</v>
      </c>
      <c r="H40" s="6">
        <v>3.08</v>
      </c>
      <c r="I40" s="6">
        <v>3.2</v>
      </c>
      <c r="J40" s="6">
        <v>1.8</v>
      </c>
      <c r="K40" s="6">
        <v>9.01</v>
      </c>
      <c r="L40" s="6">
        <v>3.375</v>
      </c>
      <c r="M40" s="6">
        <v>480</v>
      </c>
      <c r="N40" s="6">
        <v>192</v>
      </c>
      <c r="O40" s="6">
        <v>240</v>
      </c>
      <c r="P40" s="6">
        <v>360</v>
      </c>
      <c r="Q40" s="6">
        <v>4</v>
      </c>
      <c r="R40" s="6">
        <v>5</v>
      </c>
      <c r="S40" s="6">
        <v>240</v>
      </c>
      <c r="T40" s="6">
        <v>1800</v>
      </c>
      <c r="U40" s="6">
        <v>12</v>
      </c>
      <c r="V40" s="6">
        <v>14.805</v>
      </c>
      <c r="W40" s="6">
        <v>26.4</v>
      </c>
      <c r="X40" s="6">
        <v>33.795000000000002</v>
      </c>
      <c r="Y40" s="6">
        <v>24.434999999999999</v>
      </c>
      <c r="Z40" s="6">
        <v>1.2869999999999999</v>
      </c>
      <c r="AA40" s="6">
        <v>2.9249999999999998</v>
      </c>
      <c r="AB40" s="6">
        <v>6.66</v>
      </c>
      <c r="AC40" s="6">
        <v>1.125</v>
      </c>
      <c r="AD40" s="6">
        <v>0.64349999999999996</v>
      </c>
      <c r="AE40" s="6">
        <v>0.17977499999999999</v>
      </c>
      <c r="AF40" s="6">
        <v>5.67E-2</v>
      </c>
      <c r="AG40" s="6">
        <v>0.22275</v>
      </c>
      <c r="AH40" s="6">
        <v>0.18881999999999999</v>
      </c>
      <c r="AI40" s="6">
        <v>0.14248</v>
      </c>
      <c r="AJ40" s="6">
        <v>2.5000000000000001E-2</v>
      </c>
      <c r="AK40" s="6">
        <v>0.67884999999999995</v>
      </c>
      <c r="AL40" s="6">
        <v>10.23</v>
      </c>
      <c r="AM40" s="6">
        <v>0.11799999999999999</v>
      </c>
      <c r="AN40" s="6">
        <v>0.11799999999999999</v>
      </c>
      <c r="AO40" s="6">
        <v>0.77400000000000002</v>
      </c>
      <c r="AP40" s="6">
        <v>0.53100000000000003</v>
      </c>
      <c r="AQ40" s="6">
        <v>0</v>
      </c>
      <c r="AR40" s="6">
        <v>0</v>
      </c>
      <c r="AS40" s="6">
        <v>2.2000000000000002</v>
      </c>
      <c r="AT40" s="6">
        <v>0.9</v>
      </c>
      <c r="AU40" s="6">
        <v>2.2000000000000002</v>
      </c>
      <c r="AV40" s="6">
        <v>6.6</v>
      </c>
      <c r="AW40" s="6">
        <v>5.8</v>
      </c>
      <c r="AX40" s="6">
        <v>36</v>
      </c>
      <c r="AY40" s="6">
        <v>0.61199999999999999</v>
      </c>
      <c r="AZ40" s="6">
        <v>0.48199999999999998</v>
      </c>
      <c r="BA40" s="6">
        <v>5.6000000000000001E-2</v>
      </c>
      <c r="BB40" s="6">
        <v>5.79E-2</v>
      </c>
      <c r="BC40" s="6">
        <v>4.54</v>
      </c>
      <c r="BD40" s="6">
        <v>0</v>
      </c>
      <c r="BE40" s="6">
        <v>25.9</v>
      </c>
      <c r="BF40" s="6">
        <v>21.6</v>
      </c>
      <c r="BG40" s="6">
        <v>5.5</v>
      </c>
      <c r="BH40" s="6">
        <v>3.7</v>
      </c>
      <c r="BI40" s="6">
        <v>0</v>
      </c>
      <c r="BJ40" s="6">
        <v>0</v>
      </c>
      <c r="BK40" s="6">
        <v>3.02</v>
      </c>
      <c r="BL40" s="6">
        <v>6.26</v>
      </c>
      <c r="BM40" s="6">
        <v>2.29</v>
      </c>
      <c r="BN40" s="6">
        <v>0</v>
      </c>
      <c r="BO40" s="6">
        <v>33.799999999999997</v>
      </c>
      <c r="BP40" s="6">
        <v>41</v>
      </c>
      <c r="BQ40" s="6">
        <v>0</v>
      </c>
      <c r="BR40" s="6">
        <v>1.31</v>
      </c>
      <c r="BS40" s="6">
        <v>0</v>
      </c>
      <c r="BT40" s="6">
        <v>0</v>
      </c>
      <c r="BU40" s="6">
        <v>510</v>
      </c>
      <c r="BV40" s="6">
        <v>0.185</v>
      </c>
      <c r="BW40" s="6">
        <v>8.7499999999999994E-2</v>
      </c>
      <c r="BX40" s="6">
        <v>0.12</v>
      </c>
    </row>
    <row r="41" spans="1:76" x14ac:dyDescent="0.3">
      <c r="A41" s="8" t="s">
        <v>132</v>
      </c>
      <c r="B41" s="12" t="s">
        <v>127</v>
      </c>
      <c r="C41" s="12" t="str">
        <f t="shared" si="0"/>
        <v>12,2000-2005</v>
      </c>
      <c r="D41" s="9">
        <v>1.88</v>
      </c>
      <c r="E41" s="9">
        <v>6.93</v>
      </c>
      <c r="F41" s="9">
        <v>18.5</v>
      </c>
      <c r="G41" s="9">
        <v>14.3</v>
      </c>
      <c r="H41" s="9">
        <v>2.1800000000000002</v>
      </c>
      <c r="I41" s="9">
        <v>2.79</v>
      </c>
      <c r="J41" s="9">
        <v>1.5</v>
      </c>
      <c r="K41" s="9">
        <v>9.08</v>
      </c>
      <c r="L41" s="9">
        <v>3.375</v>
      </c>
      <c r="M41" s="9">
        <v>480</v>
      </c>
      <c r="N41" s="9">
        <v>168</v>
      </c>
      <c r="O41" s="9">
        <v>240</v>
      </c>
      <c r="P41" s="9">
        <v>360</v>
      </c>
      <c r="Q41" s="9">
        <v>4</v>
      </c>
      <c r="R41" s="9">
        <v>5</v>
      </c>
      <c r="S41" s="9">
        <v>240</v>
      </c>
      <c r="T41" s="9">
        <v>1800</v>
      </c>
      <c r="U41" s="9">
        <v>12</v>
      </c>
      <c r="V41" s="9">
        <v>14.805</v>
      </c>
      <c r="W41" s="9">
        <v>26.4</v>
      </c>
      <c r="X41" s="9">
        <v>33.795000000000002</v>
      </c>
      <c r="Y41" s="9">
        <v>24.434999999999999</v>
      </c>
      <c r="Z41" s="9">
        <v>1.2869999999999999</v>
      </c>
      <c r="AA41" s="9">
        <v>2.9249999999999998</v>
      </c>
      <c r="AB41" s="9">
        <v>6.66</v>
      </c>
      <c r="AC41" s="9">
        <v>1.125</v>
      </c>
      <c r="AD41" s="9">
        <v>0.64349999999999996</v>
      </c>
      <c r="AE41" s="9">
        <v>0.17977499999999999</v>
      </c>
      <c r="AF41" s="9">
        <v>5.67E-2</v>
      </c>
      <c r="AG41" s="9">
        <v>0.22275</v>
      </c>
      <c r="AH41" s="9">
        <v>0.18881999999999999</v>
      </c>
      <c r="AI41" s="9">
        <v>0.14248</v>
      </c>
      <c r="AJ41" s="9">
        <v>2.5000000000000001E-2</v>
      </c>
      <c r="AK41" s="9">
        <v>0.67884999999999995</v>
      </c>
      <c r="AL41" s="9">
        <v>10.23</v>
      </c>
      <c r="AM41" s="9">
        <v>0.13400000000000001</v>
      </c>
      <c r="AN41" s="9">
        <v>0.13400000000000001</v>
      </c>
      <c r="AO41" s="9">
        <v>0.85799999999999998</v>
      </c>
      <c r="AP41" s="9">
        <v>0.58799999999999997</v>
      </c>
      <c r="AQ41" s="9">
        <v>0</v>
      </c>
      <c r="AR41" s="9">
        <v>0</v>
      </c>
      <c r="AS41" s="9">
        <v>2.2000000000000002</v>
      </c>
      <c r="AT41" s="9">
        <v>0.9</v>
      </c>
      <c r="AU41" s="9">
        <v>2.2000000000000002</v>
      </c>
      <c r="AV41" s="9">
        <v>6.6</v>
      </c>
      <c r="AW41" s="9">
        <v>6.3</v>
      </c>
      <c r="AX41" s="9">
        <v>44.6</v>
      </c>
      <c r="AY41" s="9">
        <v>0.625</v>
      </c>
      <c r="AZ41" s="9">
        <v>0.55600000000000005</v>
      </c>
      <c r="BA41" s="9">
        <v>4.9399999999999999E-2</v>
      </c>
      <c r="BB41" s="9">
        <v>6.2899999999999998E-2</v>
      </c>
      <c r="BC41" s="9">
        <v>5.0199999999999996</v>
      </c>
      <c r="BD41" s="9">
        <v>0</v>
      </c>
      <c r="BE41" s="9">
        <v>26.2</v>
      </c>
      <c r="BF41" s="9">
        <v>25.8</v>
      </c>
      <c r="BG41" s="9">
        <v>4.91</v>
      </c>
      <c r="BH41" s="9">
        <v>3.82</v>
      </c>
      <c r="BI41" s="9">
        <v>0</v>
      </c>
      <c r="BJ41" s="9">
        <v>0</v>
      </c>
      <c r="BK41" s="9">
        <v>3.96</v>
      </c>
      <c r="BL41" s="9">
        <v>7.84</v>
      </c>
      <c r="BM41" s="9">
        <v>2.33</v>
      </c>
      <c r="BN41" s="9">
        <v>0</v>
      </c>
      <c r="BO41" s="9">
        <v>36.700000000000003</v>
      </c>
      <c r="BP41" s="9">
        <v>50.7</v>
      </c>
      <c r="BQ41" s="9">
        <v>0</v>
      </c>
      <c r="BR41" s="9">
        <v>1.42</v>
      </c>
      <c r="BS41" s="9">
        <v>0</v>
      </c>
      <c r="BT41" s="9">
        <v>0</v>
      </c>
      <c r="BU41" s="9">
        <v>510</v>
      </c>
      <c r="BV41" s="9">
        <v>0.185</v>
      </c>
      <c r="BW41" s="9">
        <v>8.7499999999999994E-2</v>
      </c>
      <c r="BX41" s="9">
        <v>0.12</v>
      </c>
    </row>
    <row r="42" spans="1:76" x14ac:dyDescent="0.3">
      <c r="A42" s="5" t="s">
        <v>132</v>
      </c>
      <c r="B42" s="11" t="s">
        <v>128</v>
      </c>
      <c r="C42" s="11" t="str">
        <f t="shared" si="0"/>
        <v>12,2005-2010</v>
      </c>
      <c r="D42" s="6">
        <v>2.39</v>
      </c>
      <c r="E42" s="6">
        <v>6.93</v>
      </c>
      <c r="F42" s="6">
        <v>16.600000000000001</v>
      </c>
      <c r="G42" s="6">
        <v>12.6</v>
      </c>
      <c r="H42" s="6">
        <v>1.93</v>
      </c>
      <c r="I42" s="6">
        <v>2.54</v>
      </c>
      <c r="J42" s="6">
        <v>1.35</v>
      </c>
      <c r="K42" s="6">
        <v>7.67</v>
      </c>
      <c r="L42" s="6">
        <v>3.375</v>
      </c>
      <c r="M42" s="6">
        <v>480</v>
      </c>
      <c r="N42" s="6">
        <v>168</v>
      </c>
      <c r="O42" s="6">
        <v>240</v>
      </c>
      <c r="P42" s="6">
        <v>360</v>
      </c>
      <c r="Q42" s="6">
        <v>4</v>
      </c>
      <c r="R42" s="6">
        <v>5</v>
      </c>
      <c r="S42" s="6">
        <v>240</v>
      </c>
      <c r="T42" s="6">
        <v>1800</v>
      </c>
      <c r="U42" s="6">
        <v>12</v>
      </c>
      <c r="V42" s="6">
        <v>14.805</v>
      </c>
      <c r="W42" s="6">
        <v>26.4</v>
      </c>
      <c r="X42" s="6">
        <v>33.795000000000002</v>
      </c>
      <c r="Y42" s="6">
        <v>24.434999999999999</v>
      </c>
      <c r="Z42" s="6">
        <v>1.2869999999999999</v>
      </c>
      <c r="AA42" s="6">
        <v>2.9249999999999998</v>
      </c>
      <c r="AB42" s="6">
        <v>6.66</v>
      </c>
      <c r="AC42" s="6">
        <v>1.125</v>
      </c>
      <c r="AD42" s="6">
        <v>0.64349999999999996</v>
      </c>
      <c r="AE42" s="6">
        <v>0.17977499999999999</v>
      </c>
      <c r="AF42" s="6">
        <v>5.67E-2</v>
      </c>
      <c r="AG42" s="6">
        <v>0.22275</v>
      </c>
      <c r="AH42" s="6">
        <v>0.18881999999999999</v>
      </c>
      <c r="AI42" s="6">
        <v>0.14248</v>
      </c>
      <c r="AJ42" s="6">
        <v>2.5000000000000001E-2</v>
      </c>
      <c r="AK42" s="6">
        <v>0.67884999999999995</v>
      </c>
      <c r="AL42" s="6">
        <v>10.23</v>
      </c>
      <c r="AM42" s="6">
        <v>0.15</v>
      </c>
      <c r="AN42" s="6">
        <v>0.15</v>
      </c>
      <c r="AO42" s="6">
        <v>0.94199999999999995</v>
      </c>
      <c r="AP42" s="6">
        <v>0.64600000000000002</v>
      </c>
      <c r="AQ42" s="6">
        <v>0</v>
      </c>
      <c r="AR42" s="6">
        <v>0</v>
      </c>
      <c r="AS42" s="6">
        <v>2.2000000000000002</v>
      </c>
      <c r="AT42" s="6">
        <v>0.9</v>
      </c>
      <c r="AU42" s="6">
        <v>2.2000000000000002</v>
      </c>
      <c r="AV42" s="6">
        <v>6.6</v>
      </c>
      <c r="AW42" s="6">
        <v>6.84</v>
      </c>
      <c r="AX42" s="6">
        <v>69.599999999999994</v>
      </c>
      <c r="AY42" s="6">
        <v>0.63600000000000001</v>
      </c>
      <c r="AZ42" s="6">
        <v>0.57699999999999996</v>
      </c>
      <c r="BA42" s="6">
        <v>5.2499999999999998E-2</v>
      </c>
      <c r="BB42" s="6">
        <v>6.3299999999999995E-2</v>
      </c>
      <c r="BC42" s="6">
        <v>5.15</v>
      </c>
      <c r="BD42" s="6">
        <v>0</v>
      </c>
      <c r="BE42" s="6">
        <v>25.9</v>
      </c>
      <c r="BF42" s="6">
        <v>27.8</v>
      </c>
      <c r="BG42" s="6">
        <v>4.8899999999999997</v>
      </c>
      <c r="BH42" s="6">
        <v>3.86</v>
      </c>
      <c r="BI42" s="6">
        <v>0</v>
      </c>
      <c r="BJ42" s="6">
        <v>0</v>
      </c>
      <c r="BK42" s="6">
        <v>4.45</v>
      </c>
      <c r="BL42" s="6">
        <v>8.61</v>
      </c>
      <c r="BM42" s="6">
        <v>2.4900000000000002</v>
      </c>
      <c r="BN42" s="6">
        <v>2.6699999999999998E-4</v>
      </c>
      <c r="BO42" s="6">
        <v>35.700000000000003</v>
      </c>
      <c r="BP42" s="6">
        <v>70.8</v>
      </c>
      <c r="BQ42" s="6">
        <v>0</v>
      </c>
      <c r="BR42" s="6">
        <v>1.37</v>
      </c>
      <c r="BS42" s="6">
        <v>0</v>
      </c>
      <c r="BT42" s="6">
        <v>0</v>
      </c>
      <c r="BU42" s="6">
        <v>510</v>
      </c>
      <c r="BV42" s="6">
        <v>0.185</v>
      </c>
      <c r="BW42" s="6">
        <v>8.7499999999999994E-2</v>
      </c>
      <c r="BX42" s="6">
        <v>0.12</v>
      </c>
    </row>
    <row r="43" spans="1:76" x14ac:dyDescent="0.3">
      <c r="A43" s="8" t="s">
        <v>132</v>
      </c>
      <c r="B43" s="12" t="s">
        <v>129</v>
      </c>
      <c r="C43" s="12" t="str">
        <f t="shared" si="0"/>
        <v>12,2010-2015</v>
      </c>
      <c r="D43" s="9">
        <v>1.95</v>
      </c>
      <c r="E43" s="9">
        <v>6.93</v>
      </c>
      <c r="F43" s="9">
        <v>16.600000000000001</v>
      </c>
      <c r="G43" s="9">
        <v>12.4</v>
      </c>
      <c r="H43" s="9">
        <v>1.86</v>
      </c>
      <c r="I43" s="9">
        <v>2.56</v>
      </c>
      <c r="J43" s="9">
        <v>1.39</v>
      </c>
      <c r="K43" s="9">
        <v>6.69</v>
      </c>
      <c r="L43" s="9">
        <v>3.375</v>
      </c>
      <c r="M43" s="9">
        <v>480</v>
      </c>
      <c r="N43" s="9">
        <v>168</v>
      </c>
      <c r="O43" s="9">
        <v>240</v>
      </c>
      <c r="P43" s="9">
        <v>360</v>
      </c>
      <c r="Q43" s="9">
        <v>4</v>
      </c>
      <c r="R43" s="9">
        <v>5</v>
      </c>
      <c r="S43" s="9">
        <v>240</v>
      </c>
      <c r="T43" s="9">
        <v>1800</v>
      </c>
      <c r="U43" s="9">
        <v>12</v>
      </c>
      <c r="V43" s="9">
        <v>14.805</v>
      </c>
      <c r="W43" s="9">
        <v>26.4</v>
      </c>
      <c r="X43" s="9">
        <v>32.67</v>
      </c>
      <c r="Y43" s="9">
        <v>24.434999999999999</v>
      </c>
      <c r="Z43" s="9">
        <v>1.3545</v>
      </c>
      <c r="AA43" s="9">
        <v>2.9249999999999998</v>
      </c>
      <c r="AB43" s="9">
        <v>6.5250000000000004</v>
      </c>
      <c r="AC43" s="9">
        <v>1.1745000000000001</v>
      </c>
      <c r="AD43" s="9">
        <v>0.64349999999999996</v>
      </c>
      <c r="AE43" s="9">
        <v>0.17977499999999999</v>
      </c>
      <c r="AF43" s="9">
        <v>5.67E-2</v>
      </c>
      <c r="AG43" s="9">
        <v>0.22320000000000001</v>
      </c>
      <c r="AH43" s="9">
        <v>0.18881999999999999</v>
      </c>
      <c r="AI43" s="9">
        <v>0.14248</v>
      </c>
      <c r="AJ43" s="9">
        <v>2.5000000000000001E-2</v>
      </c>
      <c r="AK43" s="9">
        <v>0.67884999999999995</v>
      </c>
      <c r="AL43" s="9">
        <v>10.23</v>
      </c>
      <c r="AM43" s="9">
        <v>0.16600000000000001</v>
      </c>
      <c r="AN43" s="9">
        <v>0.16600000000000001</v>
      </c>
      <c r="AO43" s="9">
        <v>1.03</v>
      </c>
      <c r="AP43" s="9">
        <v>0.70399999999999996</v>
      </c>
      <c r="AQ43" s="9">
        <v>0</v>
      </c>
      <c r="AR43" s="9">
        <v>0</v>
      </c>
      <c r="AS43" s="9">
        <v>2.2000000000000002</v>
      </c>
      <c r="AT43" s="9">
        <v>0.9</v>
      </c>
      <c r="AU43" s="9">
        <v>2.2000000000000002</v>
      </c>
      <c r="AV43" s="9">
        <v>6.6</v>
      </c>
      <c r="AW43" s="9">
        <v>8.84</v>
      </c>
      <c r="AX43" s="9">
        <v>75.5</v>
      </c>
      <c r="AY43" s="9">
        <v>0.89900000000000002</v>
      </c>
      <c r="AZ43" s="9">
        <v>0.96299999999999997</v>
      </c>
      <c r="BA43" s="9">
        <v>7.51E-2</v>
      </c>
      <c r="BB43" s="9">
        <v>0.10299999999999999</v>
      </c>
      <c r="BC43" s="9">
        <v>5.01</v>
      </c>
      <c r="BD43" s="9">
        <v>0</v>
      </c>
      <c r="BE43" s="9">
        <v>25.4</v>
      </c>
      <c r="BF43" s="9">
        <v>29.3</v>
      </c>
      <c r="BG43" s="9">
        <v>5.31</v>
      </c>
      <c r="BH43" s="9">
        <v>3.72</v>
      </c>
      <c r="BI43" s="9">
        <v>0</v>
      </c>
      <c r="BJ43" s="9">
        <v>0</v>
      </c>
      <c r="BK43" s="9">
        <v>6.32</v>
      </c>
      <c r="BL43" s="9">
        <v>10.199999999999999</v>
      </c>
      <c r="BM43" s="9">
        <v>3.81</v>
      </c>
      <c r="BN43" s="9">
        <v>1.38</v>
      </c>
      <c r="BO43" s="9">
        <v>41.2</v>
      </c>
      <c r="BP43" s="9">
        <v>68.7</v>
      </c>
      <c r="BQ43" s="9">
        <v>0</v>
      </c>
      <c r="BR43" s="9">
        <v>1.59</v>
      </c>
      <c r="BS43" s="9">
        <v>0</v>
      </c>
      <c r="BT43" s="9">
        <v>0</v>
      </c>
      <c r="BU43" s="9">
        <v>510</v>
      </c>
      <c r="BV43" s="9">
        <v>0.185</v>
      </c>
      <c r="BW43" s="9">
        <v>8.7499999999999994E-2</v>
      </c>
      <c r="BX43" s="9">
        <v>0.12</v>
      </c>
    </row>
    <row r="44" spans="1:76" x14ac:dyDescent="0.3">
      <c r="A44" s="5" t="s">
        <v>132</v>
      </c>
      <c r="B44" s="11" t="s">
        <v>130</v>
      </c>
      <c r="C44" s="11" t="str">
        <f t="shared" si="0"/>
        <v>12,2015-2020</v>
      </c>
      <c r="D44" s="6">
        <v>1.29</v>
      </c>
      <c r="E44" s="6">
        <v>6.93</v>
      </c>
      <c r="F44" s="6">
        <v>15.9</v>
      </c>
      <c r="G44" s="6">
        <v>10.9</v>
      </c>
      <c r="H44" s="6">
        <v>2.12</v>
      </c>
      <c r="I44" s="6">
        <v>2.29</v>
      </c>
      <c r="J44" s="6">
        <v>1.27</v>
      </c>
      <c r="K44" s="6">
        <v>6.06</v>
      </c>
      <c r="L44" s="6">
        <v>3.375</v>
      </c>
      <c r="M44" s="6">
        <v>480</v>
      </c>
      <c r="N44" s="6">
        <v>168</v>
      </c>
      <c r="O44" s="6">
        <v>240</v>
      </c>
      <c r="P44" s="6">
        <v>360</v>
      </c>
      <c r="Q44" s="6">
        <v>4</v>
      </c>
      <c r="R44" s="6">
        <v>5</v>
      </c>
      <c r="S44" s="6">
        <v>240</v>
      </c>
      <c r="T44" s="6">
        <v>1800</v>
      </c>
      <c r="U44" s="6">
        <v>12</v>
      </c>
      <c r="V44" s="6">
        <v>14.805</v>
      </c>
      <c r="W44" s="6">
        <v>26.4</v>
      </c>
      <c r="X44" s="6">
        <v>31.59</v>
      </c>
      <c r="Y44" s="6">
        <v>24.434999999999999</v>
      </c>
      <c r="Z44" s="6">
        <v>1.476</v>
      </c>
      <c r="AA44" s="6">
        <v>2.9249999999999998</v>
      </c>
      <c r="AB44" s="6">
        <v>6.48</v>
      </c>
      <c r="AC44" s="6">
        <v>1.2735000000000001</v>
      </c>
      <c r="AD44" s="6">
        <v>0.67049999999999998</v>
      </c>
      <c r="AE44" s="6">
        <v>0.17977499999999999</v>
      </c>
      <c r="AF44" s="6">
        <v>5.67E-2</v>
      </c>
      <c r="AG44" s="6">
        <v>0.23219999999999999</v>
      </c>
      <c r="AH44" s="6">
        <v>0.18881999999999999</v>
      </c>
      <c r="AI44" s="6">
        <v>0.14248</v>
      </c>
      <c r="AJ44" s="6">
        <v>2.5000000000000001E-2</v>
      </c>
      <c r="AK44" s="6">
        <v>0.67884999999999995</v>
      </c>
      <c r="AL44" s="6">
        <v>10.23</v>
      </c>
      <c r="AM44" s="6">
        <v>0.18099999999999999</v>
      </c>
      <c r="AN44" s="6">
        <v>0.18099999999999999</v>
      </c>
      <c r="AO44" s="6">
        <v>1.1100000000000001</v>
      </c>
      <c r="AP44" s="6">
        <v>0.76100000000000001</v>
      </c>
      <c r="AQ44" s="6">
        <v>0</v>
      </c>
      <c r="AR44" s="6">
        <v>0</v>
      </c>
      <c r="AS44" s="6">
        <v>2.2000000000000002</v>
      </c>
      <c r="AT44" s="6">
        <v>0.9</v>
      </c>
      <c r="AU44" s="6">
        <v>2.2000000000000002</v>
      </c>
      <c r="AV44" s="6">
        <v>6.6</v>
      </c>
      <c r="AW44" s="6">
        <v>8.9600000000000009</v>
      </c>
      <c r="AX44" s="6">
        <v>53.7</v>
      </c>
      <c r="AY44" s="6">
        <v>1.0900000000000001</v>
      </c>
      <c r="AZ44" s="6">
        <v>1.46</v>
      </c>
      <c r="BA44" s="6">
        <v>8.4699999999999998E-2</v>
      </c>
      <c r="BB44" s="6">
        <v>0.154</v>
      </c>
      <c r="BC44" s="6">
        <v>4.76</v>
      </c>
      <c r="BD44" s="6">
        <v>0</v>
      </c>
      <c r="BE44" s="6">
        <v>23.6</v>
      </c>
      <c r="BF44" s="6">
        <v>31</v>
      </c>
      <c r="BG44" s="6">
        <v>5.44</v>
      </c>
      <c r="BH44" s="6">
        <v>3.35</v>
      </c>
      <c r="BI44" s="6">
        <v>0</v>
      </c>
      <c r="BJ44" s="6">
        <v>0</v>
      </c>
      <c r="BK44" s="6">
        <v>6.97</v>
      </c>
      <c r="BL44" s="6">
        <v>11.7</v>
      </c>
      <c r="BM44" s="6">
        <v>4.92</v>
      </c>
      <c r="BN44" s="6">
        <v>1.79</v>
      </c>
      <c r="BO44" s="6">
        <v>47.5</v>
      </c>
      <c r="BP44" s="6">
        <v>55.5</v>
      </c>
      <c r="BQ44" s="6">
        <v>0</v>
      </c>
      <c r="BR44" s="6">
        <v>1.84</v>
      </c>
      <c r="BS44" s="6">
        <v>0</v>
      </c>
      <c r="BT44" s="6">
        <v>0</v>
      </c>
      <c r="BU44" s="6">
        <v>510</v>
      </c>
      <c r="BV44" s="6">
        <v>0.185</v>
      </c>
      <c r="BW44" s="6">
        <v>8.7499999999999994E-2</v>
      </c>
      <c r="BX44" s="6">
        <v>0.12</v>
      </c>
    </row>
    <row r="45" spans="1:76" x14ac:dyDescent="0.3">
      <c r="A45" s="8" t="s">
        <v>132</v>
      </c>
      <c r="B45" s="12" t="s">
        <v>131</v>
      </c>
      <c r="C45" s="12" t="str">
        <f t="shared" si="0"/>
        <v>12,2020-</v>
      </c>
      <c r="D45" s="9">
        <v>1.29</v>
      </c>
      <c r="E45" s="9">
        <v>6.93</v>
      </c>
      <c r="F45" s="9">
        <v>15.9</v>
      </c>
      <c r="G45" s="9">
        <v>10.9</v>
      </c>
      <c r="H45" s="9">
        <v>2.12</v>
      </c>
      <c r="I45" s="9">
        <v>2.29</v>
      </c>
      <c r="J45" s="9">
        <v>1.27</v>
      </c>
      <c r="K45" s="9">
        <v>6.06</v>
      </c>
      <c r="L45" s="9">
        <v>3.375</v>
      </c>
      <c r="M45" s="9">
        <v>480</v>
      </c>
      <c r="N45" s="9">
        <v>168</v>
      </c>
      <c r="O45" s="9">
        <v>240</v>
      </c>
      <c r="P45" s="9">
        <v>360</v>
      </c>
      <c r="Q45" s="9">
        <v>4</v>
      </c>
      <c r="R45" s="9">
        <v>5</v>
      </c>
      <c r="S45" s="9">
        <v>240</v>
      </c>
      <c r="T45" s="9">
        <v>1800</v>
      </c>
      <c r="U45" s="9">
        <v>12</v>
      </c>
      <c r="V45" s="9">
        <v>14.805</v>
      </c>
      <c r="W45" s="9">
        <v>26.4</v>
      </c>
      <c r="X45" s="9">
        <v>31.14</v>
      </c>
      <c r="Y45" s="9">
        <v>24.48</v>
      </c>
      <c r="Z45" s="9">
        <v>1.7235</v>
      </c>
      <c r="AA45" s="9">
        <v>2.9249999999999998</v>
      </c>
      <c r="AB45" s="9">
        <v>6.57</v>
      </c>
      <c r="AC45" s="9">
        <v>1.359</v>
      </c>
      <c r="AD45" s="9">
        <v>0.69299999999999995</v>
      </c>
      <c r="AE45" s="9">
        <v>0.17977499999999999</v>
      </c>
      <c r="AF45" s="9">
        <v>5.7149999999999999E-2</v>
      </c>
      <c r="AG45" s="9">
        <v>0.24074999999999999</v>
      </c>
      <c r="AH45" s="9">
        <v>0.18881999999999999</v>
      </c>
      <c r="AI45" s="9">
        <v>0.14248</v>
      </c>
      <c r="AJ45" s="9">
        <v>2.5000000000000001E-2</v>
      </c>
      <c r="AK45" s="9">
        <v>0.67884999999999995</v>
      </c>
      <c r="AL45" s="9">
        <v>10.23</v>
      </c>
      <c r="AM45" s="9">
        <v>0.191</v>
      </c>
      <c r="AN45" s="9">
        <v>0.191</v>
      </c>
      <c r="AO45" s="9">
        <v>1.1599999999999999</v>
      </c>
      <c r="AP45" s="9">
        <v>0.79600000000000004</v>
      </c>
      <c r="AQ45" s="9">
        <v>0</v>
      </c>
      <c r="AR45" s="9">
        <v>0</v>
      </c>
      <c r="AS45" s="9">
        <v>2.2000000000000002</v>
      </c>
      <c r="AT45" s="9">
        <v>0.9</v>
      </c>
      <c r="AU45" s="9">
        <v>2.2000000000000002</v>
      </c>
      <c r="AV45" s="9">
        <v>6.6</v>
      </c>
      <c r="AW45" s="9">
        <v>8.9600000000000009</v>
      </c>
      <c r="AX45" s="9">
        <v>53.7</v>
      </c>
      <c r="AY45" s="9">
        <v>1.0900000000000001</v>
      </c>
      <c r="AZ45" s="9">
        <v>1.46</v>
      </c>
      <c r="BA45" s="9">
        <v>8.4699999999999998E-2</v>
      </c>
      <c r="BB45" s="9">
        <v>0.154</v>
      </c>
      <c r="BC45" s="9">
        <v>4.76</v>
      </c>
      <c r="BD45" s="9">
        <v>0</v>
      </c>
      <c r="BE45" s="9">
        <v>23.6</v>
      </c>
      <c r="BF45" s="9">
        <v>31</v>
      </c>
      <c r="BG45" s="9">
        <v>5.44</v>
      </c>
      <c r="BH45" s="9">
        <v>3.35</v>
      </c>
      <c r="BI45" s="9"/>
      <c r="BJ45" s="9"/>
      <c r="BK45" s="9">
        <v>6.97</v>
      </c>
      <c r="BL45" s="9">
        <v>11.7</v>
      </c>
      <c r="BM45" s="9">
        <v>4.92</v>
      </c>
      <c r="BN45" s="9">
        <v>1.79</v>
      </c>
      <c r="BO45" s="9">
        <v>47.5</v>
      </c>
      <c r="BP45" s="9">
        <v>55.5</v>
      </c>
      <c r="BQ45" s="9">
        <v>0</v>
      </c>
      <c r="BR45" s="9">
        <v>1.84</v>
      </c>
      <c r="BS45" s="9">
        <v>0</v>
      </c>
      <c r="BT45" s="9">
        <v>0</v>
      </c>
      <c r="BU45" s="9">
        <v>510</v>
      </c>
      <c r="BV45" s="9">
        <v>0.185</v>
      </c>
      <c r="BW45" s="9">
        <v>8.7499999999999994E-2</v>
      </c>
      <c r="BX45" s="9">
        <v>0.12</v>
      </c>
    </row>
    <row r="46" spans="1:76" x14ac:dyDescent="0.3">
      <c r="A46" s="5" t="s">
        <v>94</v>
      </c>
      <c r="B46" s="11" t="s">
        <v>110</v>
      </c>
      <c r="C46" s="11" t="str">
        <f t="shared" si="0"/>
        <v>162,-1920</v>
      </c>
      <c r="D46" s="6">
        <v>6.2</v>
      </c>
      <c r="E46" s="6">
        <v>11.025</v>
      </c>
      <c r="F46" s="6">
        <v>5.91</v>
      </c>
      <c r="G46" s="6">
        <v>12.8</v>
      </c>
      <c r="H46" s="6">
        <v>0.998</v>
      </c>
      <c r="I46" s="6">
        <v>7.13</v>
      </c>
      <c r="J46" s="6">
        <v>0.28399999999999997</v>
      </c>
      <c r="K46" s="6">
        <v>2.41</v>
      </c>
      <c r="L46" s="6">
        <v>3.375</v>
      </c>
      <c r="M46" s="6">
        <v>480</v>
      </c>
      <c r="N46" s="6">
        <v>0</v>
      </c>
      <c r="O46" s="6">
        <v>3</v>
      </c>
      <c r="P46" s="6">
        <v>360</v>
      </c>
      <c r="Q46" s="6">
        <v>5</v>
      </c>
      <c r="R46" s="6">
        <v>0</v>
      </c>
      <c r="S46" s="6">
        <v>0</v>
      </c>
      <c r="T46" s="6">
        <v>5400</v>
      </c>
      <c r="U46" s="6">
        <v>12</v>
      </c>
      <c r="V46" s="6">
        <v>15.93</v>
      </c>
      <c r="W46" s="6">
        <v>0</v>
      </c>
      <c r="X46" s="6">
        <v>41.49</v>
      </c>
      <c r="Y46" s="6">
        <v>8.9550000000000001</v>
      </c>
      <c r="Z46" s="6">
        <v>0.37709999999999999</v>
      </c>
      <c r="AA46" s="6">
        <v>0</v>
      </c>
      <c r="AB46" s="6">
        <v>3.51</v>
      </c>
      <c r="AC46" s="6">
        <v>0</v>
      </c>
      <c r="AD46" s="6">
        <v>0</v>
      </c>
      <c r="AE46" s="6">
        <v>0</v>
      </c>
      <c r="AF46" s="6">
        <v>9.0900000000000009E-3</v>
      </c>
      <c r="AG46" s="6">
        <v>0</v>
      </c>
      <c r="AH46" s="6">
        <v>0</v>
      </c>
      <c r="AI46" s="6">
        <v>0</v>
      </c>
      <c r="AJ46" s="6">
        <v>0</v>
      </c>
      <c r="AK46" s="6">
        <v>0</v>
      </c>
      <c r="AL46" s="6">
        <v>0</v>
      </c>
      <c r="AM46" s="6">
        <v>0</v>
      </c>
      <c r="AN46" s="6">
        <v>0</v>
      </c>
      <c r="AO46" s="6">
        <v>0</v>
      </c>
      <c r="AP46" s="6">
        <v>0</v>
      </c>
      <c r="AQ46" s="6">
        <v>0</v>
      </c>
      <c r="AR46" s="6">
        <v>0</v>
      </c>
      <c r="AS46" s="6">
        <v>1.1000000000000001</v>
      </c>
      <c r="AT46" s="6">
        <v>0</v>
      </c>
      <c r="AU46" s="6">
        <v>1.65</v>
      </c>
      <c r="AV46" s="6">
        <v>3.3</v>
      </c>
      <c r="AW46" s="6">
        <v>0</v>
      </c>
      <c r="AX46" s="6">
        <v>0</v>
      </c>
      <c r="AY46" s="6">
        <v>0</v>
      </c>
      <c r="AZ46" s="6"/>
      <c r="BA46" s="6">
        <v>0</v>
      </c>
      <c r="BB46" s="6"/>
      <c r="BC46" s="6">
        <v>0</v>
      </c>
      <c r="BD46" s="6"/>
      <c r="BE46" s="6">
        <v>0</v>
      </c>
      <c r="BF46" s="6">
        <v>0</v>
      </c>
      <c r="BG46" s="6">
        <v>0</v>
      </c>
      <c r="BH46" s="6">
        <v>0</v>
      </c>
      <c r="BI46" s="6"/>
      <c r="BJ46" s="6"/>
      <c r="BK46" s="6"/>
      <c r="BL46" s="6">
        <v>8.67</v>
      </c>
      <c r="BM46" s="6"/>
      <c r="BN46" s="6">
        <v>0</v>
      </c>
      <c r="BO46" s="6">
        <v>2.2799999999999998</v>
      </c>
      <c r="BP46" s="6">
        <v>5.99</v>
      </c>
      <c r="BQ46" s="6"/>
      <c r="BR46" s="6">
        <v>7.7099999999999998E-4</v>
      </c>
      <c r="BS46" s="6"/>
      <c r="BT46" s="6"/>
      <c r="BU46" s="6">
        <v>100</v>
      </c>
      <c r="BV46" s="6">
        <v>0</v>
      </c>
      <c r="BW46" s="6">
        <v>0.17499999999999999</v>
      </c>
      <c r="BX46" s="6">
        <v>0</v>
      </c>
    </row>
    <row r="47" spans="1:76" x14ac:dyDescent="0.3">
      <c r="A47" s="8" t="s">
        <v>94</v>
      </c>
      <c r="B47" s="12" t="s">
        <v>111</v>
      </c>
      <c r="C47" s="12" t="str">
        <f t="shared" si="0"/>
        <v>162,1920-1925</v>
      </c>
      <c r="D47" s="9">
        <v>6.2</v>
      </c>
      <c r="E47" s="9">
        <v>11.025</v>
      </c>
      <c r="F47" s="9">
        <v>5.91</v>
      </c>
      <c r="G47" s="9">
        <v>12.8</v>
      </c>
      <c r="H47" s="9">
        <v>0.998</v>
      </c>
      <c r="I47" s="9">
        <v>7.13</v>
      </c>
      <c r="J47" s="9">
        <v>0.28399999999999997</v>
      </c>
      <c r="K47" s="9">
        <v>2.41</v>
      </c>
      <c r="L47" s="9">
        <v>3.375</v>
      </c>
      <c r="M47" s="9">
        <v>480</v>
      </c>
      <c r="N47" s="9">
        <v>0</v>
      </c>
      <c r="O47" s="9">
        <v>31</v>
      </c>
      <c r="P47" s="9">
        <v>360</v>
      </c>
      <c r="Q47" s="9">
        <v>5</v>
      </c>
      <c r="R47" s="9">
        <v>0</v>
      </c>
      <c r="S47" s="9">
        <v>0</v>
      </c>
      <c r="T47" s="9">
        <v>4536</v>
      </c>
      <c r="U47" s="9">
        <v>12</v>
      </c>
      <c r="V47" s="9">
        <v>15.93</v>
      </c>
      <c r="W47" s="9">
        <v>0</v>
      </c>
      <c r="X47" s="9">
        <v>41.49</v>
      </c>
      <c r="Y47" s="9">
        <v>8.9550000000000001</v>
      </c>
      <c r="Z47" s="9">
        <v>0.37709999999999999</v>
      </c>
      <c r="AA47" s="9">
        <v>0</v>
      </c>
      <c r="AB47" s="9">
        <v>3.51</v>
      </c>
      <c r="AC47" s="9">
        <v>0</v>
      </c>
      <c r="AD47" s="9">
        <v>0</v>
      </c>
      <c r="AE47" s="9">
        <v>0</v>
      </c>
      <c r="AF47" s="9">
        <v>9.0900000000000009E-3</v>
      </c>
      <c r="AG47" s="9">
        <v>0</v>
      </c>
      <c r="AH47" s="9">
        <v>0</v>
      </c>
      <c r="AI47" s="9">
        <v>0</v>
      </c>
      <c r="AJ47" s="9">
        <v>0</v>
      </c>
      <c r="AK47" s="9">
        <v>0</v>
      </c>
      <c r="AL47" s="9">
        <v>0</v>
      </c>
      <c r="AM47" s="9">
        <v>0</v>
      </c>
      <c r="AN47" s="9">
        <v>0</v>
      </c>
      <c r="AO47" s="9">
        <v>0</v>
      </c>
      <c r="AP47" s="9">
        <v>0</v>
      </c>
      <c r="AQ47" s="9">
        <v>0</v>
      </c>
      <c r="AR47" s="9">
        <v>0</v>
      </c>
      <c r="AS47" s="9">
        <v>1.1000000000000001</v>
      </c>
      <c r="AT47" s="9">
        <v>0</v>
      </c>
      <c r="AU47" s="9">
        <v>1.65</v>
      </c>
      <c r="AV47" s="9">
        <v>3.3</v>
      </c>
      <c r="AW47" s="9">
        <v>0</v>
      </c>
      <c r="AX47" s="9">
        <v>0</v>
      </c>
      <c r="AY47" s="9">
        <v>0</v>
      </c>
      <c r="AZ47" s="9"/>
      <c r="BA47" s="9">
        <v>0</v>
      </c>
      <c r="BB47" s="9"/>
      <c r="BC47" s="9">
        <v>0</v>
      </c>
      <c r="BD47" s="9"/>
      <c r="BE47" s="9">
        <v>0</v>
      </c>
      <c r="BF47" s="9">
        <v>0</v>
      </c>
      <c r="BG47" s="9">
        <v>0</v>
      </c>
      <c r="BH47" s="9">
        <v>0</v>
      </c>
      <c r="BI47" s="9"/>
      <c r="BJ47" s="9"/>
      <c r="BK47" s="9"/>
      <c r="BL47" s="9">
        <v>17.3</v>
      </c>
      <c r="BM47" s="9"/>
      <c r="BN47" s="9">
        <v>0</v>
      </c>
      <c r="BO47" s="9">
        <v>4.55</v>
      </c>
      <c r="BP47" s="9">
        <v>12</v>
      </c>
      <c r="BQ47" s="9"/>
      <c r="BR47" s="9">
        <v>1.5399999999999999E-3</v>
      </c>
      <c r="BS47" s="9"/>
      <c r="BT47" s="9"/>
      <c r="BU47" s="9">
        <v>139</v>
      </c>
      <c r="BV47" s="9">
        <v>0</v>
      </c>
      <c r="BW47" s="9">
        <v>0.17499999999999999</v>
      </c>
      <c r="BX47" s="9">
        <v>0</v>
      </c>
    </row>
    <row r="48" spans="1:76" x14ac:dyDescent="0.3">
      <c r="A48" s="5" t="s">
        <v>94</v>
      </c>
      <c r="B48" s="11" t="s">
        <v>112</v>
      </c>
      <c r="C48" s="11" t="str">
        <f t="shared" si="0"/>
        <v>162,1925-1930</v>
      </c>
      <c r="D48" s="6">
        <v>6.2</v>
      </c>
      <c r="E48" s="6">
        <v>11.025</v>
      </c>
      <c r="F48" s="6">
        <v>5.91</v>
      </c>
      <c r="G48" s="6">
        <v>12.8</v>
      </c>
      <c r="H48" s="6">
        <v>0.998</v>
      </c>
      <c r="I48" s="6">
        <v>7.13</v>
      </c>
      <c r="J48" s="6">
        <v>0.28399999999999997</v>
      </c>
      <c r="K48" s="6">
        <v>2.41</v>
      </c>
      <c r="L48" s="6">
        <v>3.375</v>
      </c>
      <c r="M48" s="6">
        <v>480</v>
      </c>
      <c r="N48" s="6">
        <v>0</v>
      </c>
      <c r="O48" s="6">
        <v>58</v>
      </c>
      <c r="P48" s="6">
        <v>360</v>
      </c>
      <c r="Q48" s="6">
        <v>5</v>
      </c>
      <c r="R48" s="6">
        <v>0</v>
      </c>
      <c r="S48" s="6">
        <v>0</v>
      </c>
      <c r="T48" s="6">
        <v>4320</v>
      </c>
      <c r="U48" s="6">
        <v>12</v>
      </c>
      <c r="V48" s="6">
        <v>15.93</v>
      </c>
      <c r="W48" s="6">
        <v>0</v>
      </c>
      <c r="X48" s="6">
        <v>41.49</v>
      </c>
      <c r="Y48" s="6">
        <v>8.9550000000000001</v>
      </c>
      <c r="Z48" s="6">
        <v>0.37709999999999999</v>
      </c>
      <c r="AA48" s="6">
        <v>0</v>
      </c>
      <c r="AB48" s="6">
        <v>3.51</v>
      </c>
      <c r="AC48" s="6">
        <v>0</v>
      </c>
      <c r="AD48" s="6">
        <v>0</v>
      </c>
      <c r="AE48" s="6">
        <v>0</v>
      </c>
      <c r="AF48" s="6">
        <v>9.0900000000000009E-3</v>
      </c>
      <c r="AG48" s="6">
        <v>0</v>
      </c>
      <c r="AH48" s="6">
        <v>0</v>
      </c>
      <c r="AI48" s="6">
        <v>0</v>
      </c>
      <c r="AJ48" s="6">
        <v>0</v>
      </c>
      <c r="AK48" s="6">
        <v>0</v>
      </c>
      <c r="AL48" s="6">
        <v>0</v>
      </c>
      <c r="AM48" s="6">
        <v>0</v>
      </c>
      <c r="AN48" s="6">
        <v>0</v>
      </c>
      <c r="AO48" s="6">
        <v>0</v>
      </c>
      <c r="AP48" s="6">
        <v>0</v>
      </c>
      <c r="AQ48" s="6">
        <v>0</v>
      </c>
      <c r="AR48" s="6">
        <v>0</v>
      </c>
      <c r="AS48" s="6">
        <v>1.1000000000000001</v>
      </c>
      <c r="AT48" s="6">
        <v>0</v>
      </c>
      <c r="AU48" s="6">
        <v>1.65</v>
      </c>
      <c r="AV48" s="6">
        <v>3.3</v>
      </c>
      <c r="AW48" s="6">
        <v>0</v>
      </c>
      <c r="AX48" s="6">
        <v>0</v>
      </c>
      <c r="AY48" s="6">
        <v>0</v>
      </c>
      <c r="AZ48" s="6"/>
      <c r="BA48" s="6">
        <v>0</v>
      </c>
      <c r="BB48" s="6"/>
      <c r="BC48" s="6">
        <v>0</v>
      </c>
      <c r="BD48" s="6"/>
      <c r="BE48" s="6">
        <v>0</v>
      </c>
      <c r="BF48" s="6">
        <v>0</v>
      </c>
      <c r="BG48" s="6">
        <v>0</v>
      </c>
      <c r="BH48" s="6">
        <v>0</v>
      </c>
      <c r="BI48" s="6"/>
      <c r="BJ48" s="6"/>
      <c r="BK48" s="6"/>
      <c r="BL48" s="6">
        <v>26</v>
      </c>
      <c r="BM48" s="6"/>
      <c r="BN48" s="6">
        <v>0</v>
      </c>
      <c r="BO48" s="6">
        <v>6.83</v>
      </c>
      <c r="BP48" s="6">
        <v>18</v>
      </c>
      <c r="BQ48" s="6"/>
      <c r="BR48" s="6">
        <v>2.31E-3</v>
      </c>
      <c r="BS48" s="6"/>
      <c r="BT48" s="6"/>
      <c r="BU48" s="6">
        <v>178</v>
      </c>
      <c r="BV48" s="6">
        <v>0</v>
      </c>
      <c r="BW48" s="6">
        <v>0.17499999999999999</v>
      </c>
      <c r="BX48" s="6">
        <v>0</v>
      </c>
    </row>
    <row r="49" spans="1:76" x14ac:dyDescent="0.3">
      <c r="A49" s="8" t="s">
        <v>94</v>
      </c>
      <c r="B49" s="12" t="s">
        <v>113</v>
      </c>
      <c r="C49" s="12" t="str">
        <f t="shared" si="0"/>
        <v>162,1930-1935</v>
      </c>
      <c r="D49" s="9">
        <v>6.2</v>
      </c>
      <c r="E49" s="9">
        <v>11.025</v>
      </c>
      <c r="F49" s="9">
        <v>5.91</v>
      </c>
      <c r="G49" s="9">
        <v>12.8</v>
      </c>
      <c r="H49" s="9">
        <v>0.998</v>
      </c>
      <c r="I49" s="9">
        <v>7.13</v>
      </c>
      <c r="J49" s="9">
        <v>0.28399999999999997</v>
      </c>
      <c r="K49" s="9">
        <v>2.41</v>
      </c>
      <c r="L49" s="9">
        <v>3.375</v>
      </c>
      <c r="M49" s="9">
        <v>480</v>
      </c>
      <c r="N49" s="9">
        <v>0</v>
      </c>
      <c r="O49" s="9">
        <v>84</v>
      </c>
      <c r="P49" s="9">
        <v>360</v>
      </c>
      <c r="Q49" s="9">
        <v>5</v>
      </c>
      <c r="R49" s="9">
        <v>0</v>
      </c>
      <c r="S49" s="9">
        <v>0</v>
      </c>
      <c r="T49" s="9">
        <v>3888</v>
      </c>
      <c r="U49" s="9">
        <v>12</v>
      </c>
      <c r="V49" s="9">
        <v>15.93</v>
      </c>
      <c r="W49" s="9">
        <v>0</v>
      </c>
      <c r="X49" s="9">
        <v>41.49</v>
      </c>
      <c r="Y49" s="9">
        <v>8.9550000000000001</v>
      </c>
      <c r="Z49" s="9">
        <v>0.37709999999999999</v>
      </c>
      <c r="AA49" s="9">
        <v>0</v>
      </c>
      <c r="AB49" s="9">
        <v>3.51</v>
      </c>
      <c r="AC49" s="9">
        <v>0</v>
      </c>
      <c r="AD49" s="9">
        <v>0</v>
      </c>
      <c r="AE49" s="9">
        <v>0</v>
      </c>
      <c r="AF49" s="9">
        <v>9.0900000000000009E-3</v>
      </c>
      <c r="AG49" s="9">
        <v>0</v>
      </c>
      <c r="AH49" s="9">
        <v>0</v>
      </c>
      <c r="AI49" s="9">
        <v>0</v>
      </c>
      <c r="AJ49" s="9">
        <v>0</v>
      </c>
      <c r="AK49" s="9">
        <v>0</v>
      </c>
      <c r="AL49" s="9">
        <v>0</v>
      </c>
      <c r="AM49" s="9">
        <v>0</v>
      </c>
      <c r="AN49" s="9">
        <v>0</v>
      </c>
      <c r="AO49" s="9">
        <v>0</v>
      </c>
      <c r="AP49" s="9">
        <v>0</v>
      </c>
      <c r="AQ49" s="9">
        <v>0</v>
      </c>
      <c r="AR49" s="9">
        <v>0</v>
      </c>
      <c r="AS49" s="9">
        <v>1.1000000000000001</v>
      </c>
      <c r="AT49" s="9">
        <v>0</v>
      </c>
      <c r="AU49" s="9">
        <v>1.65</v>
      </c>
      <c r="AV49" s="9">
        <v>3.3</v>
      </c>
      <c r="AW49" s="9">
        <v>0</v>
      </c>
      <c r="AX49" s="9">
        <v>0</v>
      </c>
      <c r="AY49" s="9">
        <v>0</v>
      </c>
      <c r="AZ49" s="9"/>
      <c r="BA49" s="9">
        <v>0</v>
      </c>
      <c r="BB49" s="9"/>
      <c r="BC49" s="9">
        <v>0</v>
      </c>
      <c r="BD49" s="9"/>
      <c r="BE49" s="9">
        <v>0</v>
      </c>
      <c r="BF49" s="9">
        <v>0</v>
      </c>
      <c r="BG49" s="9">
        <v>0</v>
      </c>
      <c r="BH49" s="9">
        <v>0</v>
      </c>
      <c r="BI49" s="9"/>
      <c r="BJ49" s="9"/>
      <c r="BK49" s="9"/>
      <c r="BL49" s="9">
        <v>34.700000000000003</v>
      </c>
      <c r="BM49" s="9"/>
      <c r="BN49" s="9">
        <v>0</v>
      </c>
      <c r="BO49" s="9">
        <v>9.1</v>
      </c>
      <c r="BP49" s="9">
        <v>24</v>
      </c>
      <c r="BQ49" s="9"/>
      <c r="BR49" s="9">
        <v>3.0799999999999998E-3</v>
      </c>
      <c r="BS49" s="9"/>
      <c r="BT49" s="9"/>
      <c r="BU49" s="9">
        <v>218</v>
      </c>
      <c r="BV49" s="9">
        <v>0</v>
      </c>
      <c r="BW49" s="9">
        <v>0.17499999999999999</v>
      </c>
      <c r="BX49" s="9">
        <v>0</v>
      </c>
    </row>
    <row r="50" spans="1:76" x14ac:dyDescent="0.3">
      <c r="A50" s="5" t="s">
        <v>94</v>
      </c>
      <c r="B50" s="11" t="s">
        <v>114</v>
      </c>
      <c r="C50" s="11" t="str">
        <f t="shared" si="0"/>
        <v>162,1935-1940</v>
      </c>
      <c r="D50" s="6">
        <v>6.2</v>
      </c>
      <c r="E50" s="6">
        <v>11.025</v>
      </c>
      <c r="F50" s="6">
        <v>5.91</v>
      </c>
      <c r="G50" s="6">
        <v>12.8</v>
      </c>
      <c r="H50" s="6">
        <v>0.998</v>
      </c>
      <c r="I50" s="6">
        <v>7.13</v>
      </c>
      <c r="J50" s="6">
        <v>0.28399999999999997</v>
      </c>
      <c r="K50" s="6">
        <v>2.41</v>
      </c>
      <c r="L50" s="6">
        <v>3.375</v>
      </c>
      <c r="M50" s="6">
        <v>480</v>
      </c>
      <c r="N50" s="6">
        <v>0</v>
      </c>
      <c r="O50" s="6">
        <v>110</v>
      </c>
      <c r="P50" s="6">
        <v>360</v>
      </c>
      <c r="Q50" s="6">
        <v>5</v>
      </c>
      <c r="R50" s="6">
        <v>0</v>
      </c>
      <c r="S50" s="6">
        <v>0</v>
      </c>
      <c r="T50" s="6">
        <v>3240</v>
      </c>
      <c r="U50" s="6">
        <v>12</v>
      </c>
      <c r="V50" s="6">
        <v>15.93</v>
      </c>
      <c r="W50" s="6">
        <v>0</v>
      </c>
      <c r="X50" s="6">
        <v>41.49</v>
      </c>
      <c r="Y50" s="6">
        <v>8.9550000000000001</v>
      </c>
      <c r="Z50" s="6">
        <v>0.37709999999999999</v>
      </c>
      <c r="AA50" s="6">
        <v>0</v>
      </c>
      <c r="AB50" s="6">
        <v>3.51</v>
      </c>
      <c r="AC50" s="6">
        <v>0</v>
      </c>
      <c r="AD50" s="6">
        <v>0</v>
      </c>
      <c r="AE50" s="6">
        <v>0</v>
      </c>
      <c r="AF50" s="6">
        <v>9.0900000000000009E-3</v>
      </c>
      <c r="AG50" s="6">
        <v>0</v>
      </c>
      <c r="AH50" s="6">
        <v>0</v>
      </c>
      <c r="AI50" s="6">
        <v>0</v>
      </c>
      <c r="AJ50" s="6">
        <v>0</v>
      </c>
      <c r="AK50" s="6">
        <v>0</v>
      </c>
      <c r="AL50" s="6">
        <v>0</v>
      </c>
      <c r="AM50" s="6">
        <v>0</v>
      </c>
      <c r="AN50" s="6">
        <v>0</v>
      </c>
      <c r="AO50" s="6">
        <v>0</v>
      </c>
      <c r="AP50" s="6">
        <v>0</v>
      </c>
      <c r="AQ50" s="6">
        <v>0</v>
      </c>
      <c r="AR50" s="6">
        <v>0</v>
      </c>
      <c r="AS50" s="6">
        <v>1.1000000000000001</v>
      </c>
      <c r="AT50" s="6">
        <v>0</v>
      </c>
      <c r="AU50" s="6">
        <v>1.65</v>
      </c>
      <c r="AV50" s="6">
        <v>3.3</v>
      </c>
      <c r="AW50" s="6">
        <v>0</v>
      </c>
      <c r="AX50" s="6">
        <v>0</v>
      </c>
      <c r="AY50" s="6">
        <v>0</v>
      </c>
      <c r="AZ50" s="6"/>
      <c r="BA50" s="6">
        <v>0</v>
      </c>
      <c r="BB50" s="6"/>
      <c r="BC50" s="6">
        <v>0</v>
      </c>
      <c r="BD50" s="6"/>
      <c r="BE50" s="6">
        <v>0</v>
      </c>
      <c r="BF50" s="6">
        <v>0</v>
      </c>
      <c r="BG50" s="6">
        <v>0</v>
      </c>
      <c r="BH50" s="6">
        <v>0</v>
      </c>
      <c r="BI50" s="6"/>
      <c r="BJ50" s="6"/>
      <c r="BK50" s="6"/>
      <c r="BL50" s="6">
        <v>43.3</v>
      </c>
      <c r="BM50" s="6"/>
      <c r="BN50" s="6">
        <v>0</v>
      </c>
      <c r="BO50" s="6">
        <v>11.4</v>
      </c>
      <c r="BP50" s="6">
        <v>29.9</v>
      </c>
      <c r="BQ50" s="6"/>
      <c r="BR50" s="6">
        <v>3.8500000000000001E-3</v>
      </c>
      <c r="BS50" s="6"/>
      <c r="BT50" s="6"/>
      <c r="BU50" s="6">
        <v>257</v>
      </c>
      <c r="BV50" s="6">
        <v>0</v>
      </c>
      <c r="BW50" s="6">
        <v>0.17499999999999999</v>
      </c>
      <c r="BX50" s="6">
        <v>0</v>
      </c>
    </row>
    <row r="51" spans="1:76" x14ac:dyDescent="0.3">
      <c r="A51" s="8" t="s">
        <v>94</v>
      </c>
      <c r="B51" s="12" t="s">
        <v>115</v>
      </c>
      <c r="C51" s="12" t="str">
        <f t="shared" si="0"/>
        <v>162,1940-1945</v>
      </c>
      <c r="D51" s="9">
        <v>6.2</v>
      </c>
      <c r="E51" s="9">
        <v>11.025</v>
      </c>
      <c r="F51" s="9">
        <v>5.91</v>
      </c>
      <c r="G51" s="9">
        <v>12.8</v>
      </c>
      <c r="H51" s="9">
        <v>0.998</v>
      </c>
      <c r="I51" s="9">
        <v>7.13</v>
      </c>
      <c r="J51" s="9">
        <v>0.28399999999999997</v>
      </c>
      <c r="K51" s="9">
        <v>2.41</v>
      </c>
      <c r="L51" s="9">
        <v>3.375</v>
      </c>
      <c r="M51" s="9">
        <v>480</v>
      </c>
      <c r="N51" s="9">
        <v>0</v>
      </c>
      <c r="O51" s="9">
        <v>159</v>
      </c>
      <c r="P51" s="9">
        <v>360</v>
      </c>
      <c r="Q51" s="9">
        <v>5</v>
      </c>
      <c r="R51" s="9">
        <v>0</v>
      </c>
      <c r="S51" s="9">
        <v>24</v>
      </c>
      <c r="T51" s="9">
        <v>3240</v>
      </c>
      <c r="U51" s="9">
        <v>12</v>
      </c>
      <c r="V51" s="9">
        <v>15.93</v>
      </c>
      <c r="W51" s="9">
        <v>0</v>
      </c>
      <c r="X51" s="9">
        <v>41.49</v>
      </c>
      <c r="Y51" s="9">
        <v>8.9550000000000001</v>
      </c>
      <c r="Z51" s="9">
        <v>0.37709999999999999</v>
      </c>
      <c r="AA51" s="9">
        <v>0</v>
      </c>
      <c r="AB51" s="9">
        <v>3.51</v>
      </c>
      <c r="AC51" s="9">
        <v>0</v>
      </c>
      <c r="AD51" s="9">
        <v>0</v>
      </c>
      <c r="AE51" s="9">
        <v>0</v>
      </c>
      <c r="AF51" s="9">
        <v>9.0900000000000009E-3</v>
      </c>
      <c r="AG51" s="9">
        <v>0</v>
      </c>
      <c r="AH51" s="9">
        <v>0</v>
      </c>
      <c r="AI51" s="9">
        <v>0</v>
      </c>
      <c r="AJ51" s="9">
        <v>0</v>
      </c>
      <c r="AK51" s="9">
        <v>0</v>
      </c>
      <c r="AL51" s="9">
        <v>0</v>
      </c>
      <c r="AM51" s="9">
        <v>0</v>
      </c>
      <c r="AN51" s="9">
        <v>0</v>
      </c>
      <c r="AO51" s="9">
        <v>0</v>
      </c>
      <c r="AP51" s="9">
        <v>0</v>
      </c>
      <c r="AQ51" s="9">
        <v>0</v>
      </c>
      <c r="AR51" s="9">
        <v>0</v>
      </c>
      <c r="AS51" s="9">
        <v>1.1000000000000001</v>
      </c>
      <c r="AT51" s="9">
        <v>0</v>
      </c>
      <c r="AU51" s="9">
        <v>1.65</v>
      </c>
      <c r="AV51" s="9">
        <v>3.3</v>
      </c>
      <c r="AW51" s="9">
        <v>0</v>
      </c>
      <c r="AX51" s="9">
        <v>0</v>
      </c>
      <c r="AY51" s="9">
        <v>0</v>
      </c>
      <c r="AZ51" s="9"/>
      <c r="BA51" s="9">
        <v>0</v>
      </c>
      <c r="BB51" s="9"/>
      <c r="BC51" s="9">
        <v>0</v>
      </c>
      <c r="BD51" s="9"/>
      <c r="BE51" s="9">
        <v>0</v>
      </c>
      <c r="BF51" s="9">
        <v>0</v>
      </c>
      <c r="BG51" s="9">
        <v>0</v>
      </c>
      <c r="BH51" s="9">
        <v>0</v>
      </c>
      <c r="BI51" s="9"/>
      <c r="BJ51" s="9"/>
      <c r="BK51" s="9"/>
      <c r="BL51" s="9">
        <v>62.4</v>
      </c>
      <c r="BM51" s="9"/>
      <c r="BN51" s="9">
        <v>0</v>
      </c>
      <c r="BO51" s="9">
        <v>13.7</v>
      </c>
      <c r="BP51" s="9">
        <v>35.9</v>
      </c>
      <c r="BQ51" s="9"/>
      <c r="BR51" s="9">
        <v>4.6299999999999996E-3</v>
      </c>
      <c r="BS51" s="9"/>
      <c r="BT51" s="9"/>
      <c r="BU51" s="9">
        <v>296</v>
      </c>
      <c r="BV51" s="9">
        <v>0</v>
      </c>
      <c r="BW51" s="9">
        <v>0.17499999999999999</v>
      </c>
      <c r="BX51" s="9">
        <v>0</v>
      </c>
    </row>
    <row r="52" spans="1:76" x14ac:dyDescent="0.3">
      <c r="A52" s="5" t="s">
        <v>94</v>
      </c>
      <c r="B52" s="11" t="s">
        <v>116</v>
      </c>
      <c r="C52" s="11" t="str">
        <f t="shared" si="0"/>
        <v>162,1945-1950</v>
      </c>
      <c r="D52" s="6">
        <v>6.2</v>
      </c>
      <c r="E52" s="6">
        <v>11.025</v>
      </c>
      <c r="F52" s="6">
        <v>5.91</v>
      </c>
      <c r="G52" s="6">
        <v>12.8</v>
      </c>
      <c r="H52" s="6">
        <v>0.998</v>
      </c>
      <c r="I52" s="6">
        <v>7.13</v>
      </c>
      <c r="J52" s="6">
        <v>0.28399999999999997</v>
      </c>
      <c r="K52" s="6">
        <v>2.41</v>
      </c>
      <c r="L52" s="6">
        <v>3.375</v>
      </c>
      <c r="M52" s="6">
        <v>480</v>
      </c>
      <c r="N52" s="6">
        <v>0</v>
      </c>
      <c r="O52" s="6">
        <v>192</v>
      </c>
      <c r="P52" s="6">
        <v>360</v>
      </c>
      <c r="Q52" s="6">
        <v>5</v>
      </c>
      <c r="R52" s="6">
        <v>0</v>
      </c>
      <c r="S52" s="6">
        <v>24</v>
      </c>
      <c r="T52" s="6">
        <v>3240</v>
      </c>
      <c r="U52" s="6">
        <v>12</v>
      </c>
      <c r="V52" s="6">
        <v>15.93</v>
      </c>
      <c r="W52" s="6">
        <v>0</v>
      </c>
      <c r="X52" s="6">
        <v>41.49</v>
      </c>
      <c r="Y52" s="6">
        <v>8.9550000000000001</v>
      </c>
      <c r="Z52" s="6">
        <v>0.37709999999999999</v>
      </c>
      <c r="AA52" s="6">
        <v>0</v>
      </c>
      <c r="AB52" s="6">
        <v>3.51</v>
      </c>
      <c r="AC52" s="6">
        <v>0</v>
      </c>
      <c r="AD52" s="6">
        <v>0</v>
      </c>
      <c r="AE52" s="6">
        <v>0</v>
      </c>
      <c r="AF52" s="6">
        <v>9.0900000000000009E-3</v>
      </c>
      <c r="AG52" s="6">
        <v>0</v>
      </c>
      <c r="AH52" s="6">
        <v>0</v>
      </c>
      <c r="AI52" s="6">
        <v>0</v>
      </c>
      <c r="AJ52" s="6">
        <v>0</v>
      </c>
      <c r="AK52" s="6">
        <v>0</v>
      </c>
      <c r="AL52" s="6">
        <v>0</v>
      </c>
      <c r="AM52" s="6">
        <v>0</v>
      </c>
      <c r="AN52" s="6">
        <v>0</v>
      </c>
      <c r="AO52" s="6">
        <v>0</v>
      </c>
      <c r="AP52" s="6">
        <v>0</v>
      </c>
      <c r="AQ52" s="6">
        <v>0</v>
      </c>
      <c r="AR52" s="6">
        <v>0</v>
      </c>
      <c r="AS52" s="6">
        <v>1.1000000000000001</v>
      </c>
      <c r="AT52" s="6">
        <v>0</v>
      </c>
      <c r="AU52" s="6">
        <v>1.65</v>
      </c>
      <c r="AV52" s="6">
        <v>3.3</v>
      </c>
      <c r="AW52" s="6">
        <v>0</v>
      </c>
      <c r="AX52" s="6">
        <v>0</v>
      </c>
      <c r="AY52" s="6">
        <v>0</v>
      </c>
      <c r="AZ52" s="6"/>
      <c r="BA52" s="6">
        <v>0</v>
      </c>
      <c r="BB52" s="6"/>
      <c r="BC52" s="6">
        <v>8.3699999999999997E-2</v>
      </c>
      <c r="BD52" s="6"/>
      <c r="BE52" s="6">
        <v>6.18</v>
      </c>
      <c r="BF52" s="6">
        <v>7.63</v>
      </c>
      <c r="BG52" s="6">
        <v>1.72</v>
      </c>
      <c r="BH52" s="6">
        <v>0</v>
      </c>
      <c r="BI52" s="6"/>
      <c r="BJ52" s="6"/>
      <c r="BK52" s="6"/>
      <c r="BL52" s="6">
        <v>56.2</v>
      </c>
      <c r="BM52" s="6"/>
      <c r="BN52" s="6">
        <v>0</v>
      </c>
      <c r="BO52" s="6">
        <v>15.9</v>
      </c>
      <c r="BP52" s="6">
        <v>41.9</v>
      </c>
      <c r="BQ52" s="6"/>
      <c r="BR52" s="6">
        <v>5.4000000000000003E-3</v>
      </c>
      <c r="BS52" s="6"/>
      <c r="BT52" s="6"/>
      <c r="BU52" s="6">
        <v>335</v>
      </c>
      <c r="BV52" s="6">
        <v>0</v>
      </c>
      <c r="BW52" s="6">
        <v>0.17499999999999999</v>
      </c>
      <c r="BX52" s="6">
        <v>0</v>
      </c>
    </row>
    <row r="53" spans="1:76" x14ac:dyDescent="0.3">
      <c r="A53" s="8" t="s">
        <v>94</v>
      </c>
      <c r="B53" s="12" t="s">
        <v>117</v>
      </c>
      <c r="C53" s="12" t="str">
        <f t="shared" si="0"/>
        <v>162,1950-1955</v>
      </c>
      <c r="D53" s="9">
        <v>6.2</v>
      </c>
      <c r="E53" s="9">
        <v>11.025</v>
      </c>
      <c r="F53" s="9">
        <v>5.91</v>
      </c>
      <c r="G53" s="9">
        <v>12.8</v>
      </c>
      <c r="H53" s="9">
        <v>0.998</v>
      </c>
      <c r="I53" s="9">
        <v>7.13</v>
      </c>
      <c r="J53" s="9">
        <v>0.28399999999999997</v>
      </c>
      <c r="K53" s="9">
        <v>2.41</v>
      </c>
      <c r="L53" s="9">
        <v>3.375</v>
      </c>
      <c r="M53" s="9">
        <v>480</v>
      </c>
      <c r="N53" s="9">
        <v>360</v>
      </c>
      <c r="O53" s="9">
        <v>236</v>
      </c>
      <c r="P53" s="9">
        <v>427</v>
      </c>
      <c r="Q53" s="9">
        <v>5</v>
      </c>
      <c r="R53" s="9">
        <v>4</v>
      </c>
      <c r="S53" s="9">
        <v>192</v>
      </c>
      <c r="T53" s="9">
        <v>3096</v>
      </c>
      <c r="U53" s="9">
        <v>12</v>
      </c>
      <c r="V53" s="9">
        <v>15.93</v>
      </c>
      <c r="W53" s="9">
        <v>0</v>
      </c>
      <c r="X53" s="9">
        <v>41.49</v>
      </c>
      <c r="Y53" s="9">
        <v>8.9550000000000001</v>
      </c>
      <c r="Z53" s="9">
        <v>0.37709999999999999</v>
      </c>
      <c r="AA53" s="9">
        <v>0</v>
      </c>
      <c r="AB53" s="9">
        <v>3.51</v>
      </c>
      <c r="AC53" s="9">
        <v>0</v>
      </c>
      <c r="AD53" s="9">
        <v>0</v>
      </c>
      <c r="AE53" s="9">
        <v>0</v>
      </c>
      <c r="AF53" s="9">
        <v>9.0900000000000009E-3</v>
      </c>
      <c r="AG53" s="9">
        <v>0</v>
      </c>
      <c r="AH53" s="9">
        <v>0</v>
      </c>
      <c r="AI53" s="9">
        <v>0</v>
      </c>
      <c r="AJ53" s="9">
        <v>0</v>
      </c>
      <c r="AK53" s="9">
        <v>0</v>
      </c>
      <c r="AL53" s="9">
        <v>0</v>
      </c>
      <c r="AM53" s="9">
        <v>0</v>
      </c>
      <c r="AN53" s="9">
        <v>0</v>
      </c>
      <c r="AO53" s="9">
        <v>0</v>
      </c>
      <c r="AP53" s="9">
        <v>0</v>
      </c>
      <c r="AQ53" s="9">
        <v>0</v>
      </c>
      <c r="AR53" s="9">
        <v>0</v>
      </c>
      <c r="AS53" s="9">
        <v>1.1000000000000001</v>
      </c>
      <c r="AT53" s="9">
        <v>0</v>
      </c>
      <c r="AU53" s="9">
        <v>1.65</v>
      </c>
      <c r="AV53" s="9">
        <v>3.3</v>
      </c>
      <c r="AW53" s="9">
        <v>0</v>
      </c>
      <c r="AX53" s="9">
        <v>0</v>
      </c>
      <c r="AY53" s="9">
        <v>0</v>
      </c>
      <c r="AZ53" s="9"/>
      <c r="BA53" s="9">
        <v>0</v>
      </c>
      <c r="BB53" s="9"/>
      <c r="BC53" s="9">
        <v>0.16700000000000001</v>
      </c>
      <c r="BD53" s="9"/>
      <c r="BE53" s="9">
        <v>12.4</v>
      </c>
      <c r="BF53" s="9">
        <v>15.3</v>
      </c>
      <c r="BG53" s="9">
        <v>3.44</v>
      </c>
      <c r="BH53" s="9">
        <v>0</v>
      </c>
      <c r="BI53" s="9"/>
      <c r="BJ53" s="9"/>
      <c r="BK53" s="9"/>
      <c r="BL53" s="9">
        <v>49.9</v>
      </c>
      <c r="BM53" s="9"/>
      <c r="BN53" s="9">
        <v>0</v>
      </c>
      <c r="BO53" s="9">
        <v>18.2</v>
      </c>
      <c r="BP53" s="9">
        <v>47.9</v>
      </c>
      <c r="BQ53" s="9"/>
      <c r="BR53" s="9">
        <v>6.1700000000000001E-3</v>
      </c>
      <c r="BS53" s="9"/>
      <c r="BT53" s="9"/>
      <c r="BU53" s="9">
        <v>374</v>
      </c>
      <c r="BV53" s="9">
        <v>0</v>
      </c>
      <c r="BW53" s="9">
        <v>0.17499999999999999</v>
      </c>
      <c r="BX53" s="9">
        <v>0</v>
      </c>
    </row>
    <row r="54" spans="1:76" x14ac:dyDescent="0.3">
      <c r="A54" s="5" t="s">
        <v>94</v>
      </c>
      <c r="B54" s="11" t="s">
        <v>118</v>
      </c>
      <c r="C54" s="11" t="str">
        <f t="shared" si="0"/>
        <v>162,1955-1960</v>
      </c>
      <c r="D54" s="6">
        <v>6.2</v>
      </c>
      <c r="E54" s="6">
        <v>11.025</v>
      </c>
      <c r="F54" s="6">
        <v>5.91</v>
      </c>
      <c r="G54" s="6">
        <v>12.8</v>
      </c>
      <c r="H54" s="6">
        <v>0.998</v>
      </c>
      <c r="I54" s="6">
        <v>7.13</v>
      </c>
      <c r="J54" s="6">
        <v>0.28399999999999997</v>
      </c>
      <c r="K54" s="6">
        <v>2.41</v>
      </c>
      <c r="L54" s="6">
        <v>3.375</v>
      </c>
      <c r="M54" s="6">
        <v>480</v>
      </c>
      <c r="N54" s="6">
        <v>480</v>
      </c>
      <c r="O54" s="6">
        <v>268</v>
      </c>
      <c r="P54" s="6">
        <v>518</v>
      </c>
      <c r="Q54" s="6">
        <v>5</v>
      </c>
      <c r="R54" s="6">
        <v>7</v>
      </c>
      <c r="S54" s="6">
        <v>317</v>
      </c>
      <c r="T54" s="6">
        <v>2880</v>
      </c>
      <c r="U54" s="6">
        <v>12</v>
      </c>
      <c r="V54" s="6">
        <v>15.93</v>
      </c>
      <c r="W54" s="6">
        <v>0</v>
      </c>
      <c r="X54" s="6">
        <v>41.49</v>
      </c>
      <c r="Y54" s="6">
        <v>8.9550000000000001</v>
      </c>
      <c r="Z54" s="6">
        <v>0.37709999999999999</v>
      </c>
      <c r="AA54" s="6">
        <v>0</v>
      </c>
      <c r="AB54" s="6">
        <v>3.51</v>
      </c>
      <c r="AC54" s="6">
        <v>0</v>
      </c>
      <c r="AD54" s="6">
        <v>0</v>
      </c>
      <c r="AE54" s="6">
        <v>0</v>
      </c>
      <c r="AF54" s="6">
        <v>9.0900000000000009E-3</v>
      </c>
      <c r="AG54" s="6">
        <v>0</v>
      </c>
      <c r="AH54" s="6">
        <v>0</v>
      </c>
      <c r="AI54" s="6">
        <v>0</v>
      </c>
      <c r="AJ54" s="6">
        <v>0</v>
      </c>
      <c r="AK54" s="6">
        <v>0</v>
      </c>
      <c r="AL54" s="6">
        <v>0</v>
      </c>
      <c r="AM54" s="6">
        <v>0</v>
      </c>
      <c r="AN54" s="6">
        <v>0</v>
      </c>
      <c r="AO54" s="6">
        <v>0</v>
      </c>
      <c r="AP54" s="6">
        <v>0</v>
      </c>
      <c r="AQ54" s="6">
        <v>0</v>
      </c>
      <c r="AR54" s="6">
        <v>0</v>
      </c>
      <c r="AS54" s="6">
        <v>1.1000000000000001</v>
      </c>
      <c r="AT54" s="6">
        <v>0</v>
      </c>
      <c r="AU54" s="6">
        <v>1.65</v>
      </c>
      <c r="AV54" s="6">
        <v>3.3</v>
      </c>
      <c r="AW54" s="6">
        <v>0.48199999999999998</v>
      </c>
      <c r="AX54" s="6">
        <v>0.76100003999999999</v>
      </c>
      <c r="AY54" s="6">
        <v>0.35499999999999998</v>
      </c>
      <c r="AZ54" s="6"/>
      <c r="BA54" s="6">
        <v>0.214</v>
      </c>
      <c r="BB54" s="6"/>
      <c r="BC54" s="6">
        <v>0.251</v>
      </c>
      <c r="BD54" s="6"/>
      <c r="BE54" s="6">
        <v>18.5</v>
      </c>
      <c r="BF54" s="6">
        <v>22.9</v>
      </c>
      <c r="BG54" s="6">
        <v>5.16</v>
      </c>
      <c r="BH54" s="6">
        <v>0</v>
      </c>
      <c r="BI54" s="6"/>
      <c r="BJ54" s="6"/>
      <c r="BK54" s="6"/>
      <c r="BL54" s="6">
        <v>43.7</v>
      </c>
      <c r="BM54" s="6"/>
      <c r="BN54" s="6">
        <v>0</v>
      </c>
      <c r="BO54" s="6">
        <v>20.5</v>
      </c>
      <c r="BP54" s="6">
        <v>53.9</v>
      </c>
      <c r="BQ54" s="6"/>
      <c r="BR54" s="6">
        <v>6.94E-3</v>
      </c>
      <c r="BS54" s="6"/>
      <c r="BT54" s="6"/>
      <c r="BU54" s="6">
        <v>413</v>
      </c>
      <c r="BV54" s="6">
        <v>1.4999999999999999E-2</v>
      </c>
      <c r="BW54" s="6">
        <v>0.17499999999999999</v>
      </c>
      <c r="BX54" s="6">
        <v>0</v>
      </c>
    </row>
    <row r="55" spans="1:76" x14ac:dyDescent="0.3">
      <c r="A55" s="8" t="s">
        <v>94</v>
      </c>
      <c r="B55" s="12" t="s">
        <v>119</v>
      </c>
      <c r="C55" s="12" t="str">
        <f t="shared" si="0"/>
        <v>162,1960-1965</v>
      </c>
      <c r="D55" s="9">
        <v>6.2</v>
      </c>
      <c r="E55" s="9">
        <v>11.025</v>
      </c>
      <c r="F55" s="9">
        <v>5.91</v>
      </c>
      <c r="G55" s="9">
        <v>12.8</v>
      </c>
      <c r="H55" s="9">
        <v>0.998</v>
      </c>
      <c r="I55" s="9">
        <v>7.13</v>
      </c>
      <c r="J55" s="9">
        <v>0.28399999999999997</v>
      </c>
      <c r="K55" s="9">
        <v>2.41</v>
      </c>
      <c r="L55" s="9">
        <v>3.375</v>
      </c>
      <c r="M55" s="9">
        <v>480</v>
      </c>
      <c r="N55" s="9">
        <v>456</v>
      </c>
      <c r="O55" s="9">
        <v>361</v>
      </c>
      <c r="P55" s="9">
        <v>499</v>
      </c>
      <c r="Q55" s="9">
        <v>4</v>
      </c>
      <c r="R55" s="9">
        <v>8</v>
      </c>
      <c r="S55" s="9">
        <v>288</v>
      </c>
      <c r="T55" s="9">
        <v>2520</v>
      </c>
      <c r="U55" s="9">
        <v>12</v>
      </c>
      <c r="V55" s="9">
        <v>15.93</v>
      </c>
      <c r="W55" s="9">
        <v>0</v>
      </c>
      <c r="X55" s="9">
        <v>41.49</v>
      </c>
      <c r="Y55" s="9">
        <v>8.9550000000000001</v>
      </c>
      <c r="Z55" s="9">
        <v>0.37709999999999999</v>
      </c>
      <c r="AA55" s="9">
        <v>0</v>
      </c>
      <c r="AB55" s="9">
        <v>3.51</v>
      </c>
      <c r="AC55" s="9">
        <v>0</v>
      </c>
      <c r="AD55" s="9">
        <v>0</v>
      </c>
      <c r="AE55" s="9">
        <v>0</v>
      </c>
      <c r="AF55" s="9">
        <v>9.0900000000000009E-3</v>
      </c>
      <c r="AG55" s="9">
        <v>0</v>
      </c>
      <c r="AH55" s="9">
        <v>0</v>
      </c>
      <c r="AI55" s="9">
        <v>0</v>
      </c>
      <c r="AJ55" s="9">
        <v>0</v>
      </c>
      <c r="AK55" s="9">
        <v>0</v>
      </c>
      <c r="AL55" s="9">
        <v>0</v>
      </c>
      <c r="AM55" s="9">
        <v>0</v>
      </c>
      <c r="AN55" s="9">
        <v>0</v>
      </c>
      <c r="AO55" s="9">
        <v>2.1100000000000001E-2</v>
      </c>
      <c r="AP55" s="9">
        <v>1.4500000000000001E-2</v>
      </c>
      <c r="AQ55" s="9">
        <v>0</v>
      </c>
      <c r="AR55" s="9">
        <v>0</v>
      </c>
      <c r="AS55" s="9">
        <v>1.1000000000000001</v>
      </c>
      <c r="AT55" s="9">
        <v>0</v>
      </c>
      <c r="AU55" s="9">
        <v>1.65</v>
      </c>
      <c r="AV55" s="9">
        <v>3.3</v>
      </c>
      <c r="AW55" s="9">
        <v>0.96499999999999997</v>
      </c>
      <c r="AX55" s="9">
        <v>1.52</v>
      </c>
      <c r="AY55" s="9">
        <v>0.71</v>
      </c>
      <c r="AZ55" s="9"/>
      <c r="BA55" s="9">
        <v>0.42799999999999999</v>
      </c>
      <c r="BB55" s="9"/>
      <c r="BC55" s="9">
        <v>0.33500000000000002</v>
      </c>
      <c r="BD55" s="9"/>
      <c r="BE55" s="9">
        <v>24.7</v>
      </c>
      <c r="BF55" s="9">
        <v>30.5</v>
      </c>
      <c r="BG55" s="9">
        <v>6.88</v>
      </c>
      <c r="BH55" s="9">
        <v>0</v>
      </c>
      <c r="BI55" s="9"/>
      <c r="BJ55" s="9"/>
      <c r="BK55" s="9"/>
      <c r="BL55" s="9">
        <v>37.4</v>
      </c>
      <c r="BM55" s="9"/>
      <c r="BN55" s="9">
        <v>0</v>
      </c>
      <c r="BO55" s="9">
        <v>22.8</v>
      </c>
      <c r="BP55" s="9">
        <v>59.9</v>
      </c>
      <c r="BQ55" s="9"/>
      <c r="BR55" s="9">
        <v>7.7099999999999998E-3</v>
      </c>
      <c r="BS55" s="9"/>
      <c r="BT55" s="9"/>
      <c r="BU55" s="9">
        <v>438</v>
      </c>
      <c r="BV55" s="9">
        <v>4.3299999999999998E-2</v>
      </c>
      <c r="BW55" s="9">
        <v>0.17499999999999999</v>
      </c>
      <c r="BX55" s="9">
        <v>0</v>
      </c>
    </row>
    <row r="56" spans="1:76" x14ac:dyDescent="0.3">
      <c r="A56" s="5" t="s">
        <v>94</v>
      </c>
      <c r="B56" s="11" t="s">
        <v>120</v>
      </c>
      <c r="C56" s="11" t="str">
        <f t="shared" si="0"/>
        <v>162,1965-1970</v>
      </c>
      <c r="D56" s="6">
        <v>6.2</v>
      </c>
      <c r="E56" s="6">
        <v>11.025</v>
      </c>
      <c r="F56" s="6">
        <v>5.91</v>
      </c>
      <c r="G56" s="6">
        <v>12.8</v>
      </c>
      <c r="H56" s="6">
        <v>0.998</v>
      </c>
      <c r="I56" s="6">
        <v>7.13</v>
      </c>
      <c r="J56" s="6">
        <v>0.28399999999999997</v>
      </c>
      <c r="K56" s="6">
        <v>2.41</v>
      </c>
      <c r="L56" s="6">
        <v>3.375</v>
      </c>
      <c r="M56" s="6">
        <v>480</v>
      </c>
      <c r="N56" s="6">
        <v>456</v>
      </c>
      <c r="O56" s="6">
        <v>401</v>
      </c>
      <c r="P56" s="6">
        <v>480</v>
      </c>
      <c r="Q56" s="6">
        <v>4</v>
      </c>
      <c r="R56" s="6">
        <v>8</v>
      </c>
      <c r="S56" s="6">
        <v>278</v>
      </c>
      <c r="T56" s="6">
        <v>2520</v>
      </c>
      <c r="U56" s="6">
        <v>12</v>
      </c>
      <c r="V56" s="6">
        <v>15.93</v>
      </c>
      <c r="W56" s="6">
        <v>0</v>
      </c>
      <c r="X56" s="6">
        <v>41.49</v>
      </c>
      <c r="Y56" s="6">
        <v>8.9550000000000001</v>
      </c>
      <c r="Z56" s="6">
        <v>0.37709999999999999</v>
      </c>
      <c r="AA56" s="6">
        <v>0</v>
      </c>
      <c r="AB56" s="6">
        <v>3.51</v>
      </c>
      <c r="AC56" s="6">
        <v>0</v>
      </c>
      <c r="AD56" s="6">
        <v>0</v>
      </c>
      <c r="AE56" s="6">
        <v>0</v>
      </c>
      <c r="AF56" s="6">
        <v>9.0900000000000009E-3</v>
      </c>
      <c r="AG56" s="6">
        <v>0</v>
      </c>
      <c r="AH56" s="6">
        <v>0</v>
      </c>
      <c r="AI56" s="6">
        <v>0</v>
      </c>
      <c r="AJ56" s="6">
        <v>0</v>
      </c>
      <c r="AK56" s="6">
        <v>0</v>
      </c>
      <c r="AL56" s="6">
        <v>0</v>
      </c>
      <c r="AM56" s="6">
        <v>0</v>
      </c>
      <c r="AN56" s="6">
        <v>0</v>
      </c>
      <c r="AO56" s="6">
        <v>0.10199999999999999</v>
      </c>
      <c r="AP56" s="6">
        <v>6.9900000000000004E-2</v>
      </c>
      <c r="AQ56" s="6">
        <v>0</v>
      </c>
      <c r="AR56" s="6">
        <v>0</v>
      </c>
      <c r="AS56" s="6">
        <v>1.1000000000000001</v>
      </c>
      <c r="AT56" s="6">
        <v>0</v>
      </c>
      <c r="AU56" s="6">
        <v>1.65</v>
      </c>
      <c r="AV56" s="6">
        <v>3.3</v>
      </c>
      <c r="AW56" s="6">
        <v>1.45</v>
      </c>
      <c r="AX56" s="6">
        <v>2.2799999999999998</v>
      </c>
      <c r="AY56" s="6">
        <v>1.06</v>
      </c>
      <c r="AZ56" s="6"/>
      <c r="BA56" s="6">
        <v>0.64100000000000001</v>
      </c>
      <c r="BB56" s="6"/>
      <c r="BC56" s="6">
        <v>0.41899999999999998</v>
      </c>
      <c r="BD56" s="6"/>
      <c r="BE56" s="6">
        <v>30.9</v>
      </c>
      <c r="BF56" s="6">
        <v>38.200000000000003</v>
      </c>
      <c r="BG56" s="6">
        <v>8.6</v>
      </c>
      <c r="BH56" s="6">
        <v>0</v>
      </c>
      <c r="BI56" s="6"/>
      <c r="BJ56" s="6"/>
      <c r="BK56" s="6"/>
      <c r="BL56" s="6">
        <v>31.2</v>
      </c>
      <c r="BM56" s="6"/>
      <c r="BN56" s="6">
        <v>0</v>
      </c>
      <c r="BO56" s="6">
        <v>25</v>
      </c>
      <c r="BP56" s="6">
        <v>65.900000000000006</v>
      </c>
      <c r="BQ56" s="6"/>
      <c r="BR56" s="6">
        <v>8.4799999999999997E-3</v>
      </c>
      <c r="BS56" s="6"/>
      <c r="BT56" s="6"/>
      <c r="BU56" s="6">
        <v>462</v>
      </c>
      <c r="BV56" s="6">
        <v>7.17E-2</v>
      </c>
      <c r="BW56" s="6">
        <v>0.17499999999999999</v>
      </c>
      <c r="BX56" s="6">
        <v>0</v>
      </c>
    </row>
    <row r="57" spans="1:76" x14ac:dyDescent="0.3">
      <c r="A57" s="8" t="s">
        <v>94</v>
      </c>
      <c r="B57" s="12" t="s">
        <v>121</v>
      </c>
      <c r="C57" s="12" t="str">
        <f t="shared" si="0"/>
        <v>162,1970-1975</v>
      </c>
      <c r="D57" s="9">
        <v>6.2</v>
      </c>
      <c r="E57" s="9">
        <v>11.025</v>
      </c>
      <c r="F57" s="9">
        <v>5.91</v>
      </c>
      <c r="G57" s="9">
        <v>12.8</v>
      </c>
      <c r="H57" s="9">
        <v>0.998</v>
      </c>
      <c r="I57" s="9">
        <v>7.13</v>
      </c>
      <c r="J57" s="9">
        <v>0.28399999999999997</v>
      </c>
      <c r="K57" s="9">
        <v>2.41</v>
      </c>
      <c r="L57" s="9">
        <v>3.375</v>
      </c>
      <c r="M57" s="9">
        <v>480</v>
      </c>
      <c r="N57" s="9">
        <v>240</v>
      </c>
      <c r="O57" s="9">
        <v>432</v>
      </c>
      <c r="P57" s="9">
        <v>480</v>
      </c>
      <c r="Q57" s="9">
        <v>4</v>
      </c>
      <c r="R57" s="9">
        <v>8</v>
      </c>
      <c r="S57" s="9">
        <v>264</v>
      </c>
      <c r="T57" s="9">
        <v>2520</v>
      </c>
      <c r="U57" s="9">
        <v>12</v>
      </c>
      <c r="V57" s="9">
        <v>15.93</v>
      </c>
      <c r="W57" s="9">
        <v>0</v>
      </c>
      <c r="X57" s="9">
        <v>41.49</v>
      </c>
      <c r="Y57" s="9">
        <v>8.9550000000000001</v>
      </c>
      <c r="Z57" s="9">
        <v>0.37709999999999999</v>
      </c>
      <c r="AA57" s="9">
        <v>0</v>
      </c>
      <c r="AB57" s="9">
        <v>3.51</v>
      </c>
      <c r="AC57" s="9">
        <v>0</v>
      </c>
      <c r="AD57" s="9">
        <v>0</v>
      </c>
      <c r="AE57" s="9">
        <v>0</v>
      </c>
      <c r="AF57" s="9">
        <v>9.0900000000000009E-3</v>
      </c>
      <c r="AG57" s="9">
        <v>0</v>
      </c>
      <c r="AH57" s="9">
        <v>0</v>
      </c>
      <c r="AI57" s="9">
        <v>0</v>
      </c>
      <c r="AJ57" s="9">
        <v>0</v>
      </c>
      <c r="AK57" s="9">
        <v>0</v>
      </c>
      <c r="AL57" s="9">
        <v>0</v>
      </c>
      <c r="AM57" s="9">
        <v>8.1300000000000001E-3</v>
      </c>
      <c r="AN57" s="9">
        <v>8.1300000000000001E-3</v>
      </c>
      <c r="AO57" s="9">
        <v>0.186</v>
      </c>
      <c r="AP57" s="9">
        <v>0.128</v>
      </c>
      <c r="AQ57" s="9">
        <v>0</v>
      </c>
      <c r="AR57" s="9">
        <v>0</v>
      </c>
      <c r="AS57" s="9">
        <v>1.1000000000000001</v>
      </c>
      <c r="AT57" s="9">
        <v>0</v>
      </c>
      <c r="AU57" s="9">
        <v>1.65</v>
      </c>
      <c r="AV57" s="9">
        <v>3.3</v>
      </c>
      <c r="AW57" s="9">
        <v>1.93</v>
      </c>
      <c r="AX57" s="9">
        <v>3.05</v>
      </c>
      <c r="AY57" s="9">
        <v>1.42</v>
      </c>
      <c r="AZ57" s="9"/>
      <c r="BA57" s="9">
        <v>0.85499999999999998</v>
      </c>
      <c r="BB57" s="9"/>
      <c r="BC57" s="9">
        <v>0.502</v>
      </c>
      <c r="BD57" s="9"/>
      <c r="BE57" s="9">
        <v>37.1</v>
      </c>
      <c r="BF57" s="9">
        <v>45.8</v>
      </c>
      <c r="BG57" s="9">
        <v>10.3</v>
      </c>
      <c r="BH57" s="9">
        <v>0</v>
      </c>
      <c r="BI57" s="9"/>
      <c r="BJ57" s="9"/>
      <c r="BK57" s="9"/>
      <c r="BL57" s="9">
        <v>25</v>
      </c>
      <c r="BM57" s="9"/>
      <c r="BN57" s="9">
        <v>0</v>
      </c>
      <c r="BO57" s="9">
        <v>27.3</v>
      </c>
      <c r="BP57" s="9">
        <v>71.900000000000006</v>
      </c>
      <c r="BQ57" s="9"/>
      <c r="BR57" s="9">
        <v>9.2499999999999995E-3</v>
      </c>
      <c r="BS57" s="9"/>
      <c r="BT57" s="9"/>
      <c r="BU57" s="9">
        <v>486</v>
      </c>
      <c r="BV57" s="9">
        <v>0.1</v>
      </c>
      <c r="BW57" s="9">
        <v>0.17499999999999999</v>
      </c>
      <c r="BX57" s="9">
        <v>0</v>
      </c>
    </row>
    <row r="58" spans="1:76" x14ac:dyDescent="0.3">
      <c r="A58" s="5" t="s">
        <v>94</v>
      </c>
      <c r="B58" s="11" t="s">
        <v>122</v>
      </c>
      <c r="C58" s="11" t="str">
        <f t="shared" si="0"/>
        <v>162,1975-1980</v>
      </c>
      <c r="D58" s="6">
        <v>6.2</v>
      </c>
      <c r="E58" s="6">
        <v>11.025</v>
      </c>
      <c r="F58" s="6">
        <v>5.91</v>
      </c>
      <c r="G58" s="6">
        <v>12.8</v>
      </c>
      <c r="H58" s="6">
        <v>0.998</v>
      </c>
      <c r="I58" s="6">
        <v>7.13</v>
      </c>
      <c r="J58" s="6">
        <v>0.28399999999999997</v>
      </c>
      <c r="K58" s="6">
        <v>2.41</v>
      </c>
      <c r="L58" s="6">
        <v>3.375</v>
      </c>
      <c r="M58" s="6">
        <v>480</v>
      </c>
      <c r="N58" s="6">
        <v>192</v>
      </c>
      <c r="O58" s="6">
        <v>432</v>
      </c>
      <c r="P58" s="6">
        <v>480</v>
      </c>
      <c r="Q58" s="6">
        <v>5</v>
      </c>
      <c r="R58" s="6">
        <v>9</v>
      </c>
      <c r="S58" s="6">
        <v>264</v>
      </c>
      <c r="T58" s="6">
        <v>2520</v>
      </c>
      <c r="U58" s="6">
        <v>12</v>
      </c>
      <c r="V58" s="6">
        <v>15.93</v>
      </c>
      <c r="W58" s="6">
        <v>0</v>
      </c>
      <c r="X58" s="6">
        <v>41.49</v>
      </c>
      <c r="Y58" s="6">
        <v>8.9550000000000001</v>
      </c>
      <c r="Z58" s="6">
        <v>0.37709999999999999</v>
      </c>
      <c r="AA58" s="6">
        <v>0</v>
      </c>
      <c r="AB58" s="6">
        <v>3.51</v>
      </c>
      <c r="AC58" s="6">
        <v>0</v>
      </c>
      <c r="AD58" s="6">
        <v>0</v>
      </c>
      <c r="AE58" s="6">
        <v>0</v>
      </c>
      <c r="AF58" s="6">
        <v>9.0900000000000009E-3</v>
      </c>
      <c r="AG58" s="6">
        <v>0</v>
      </c>
      <c r="AH58" s="6">
        <v>0</v>
      </c>
      <c r="AI58" s="6">
        <v>0</v>
      </c>
      <c r="AJ58" s="6">
        <v>0</v>
      </c>
      <c r="AK58" s="6">
        <v>0</v>
      </c>
      <c r="AL58" s="6">
        <v>0</v>
      </c>
      <c r="AM58" s="6">
        <v>2.3900000000000001E-2</v>
      </c>
      <c r="AN58" s="6">
        <v>2.3900000000000001E-2</v>
      </c>
      <c r="AO58" s="6">
        <v>0.27</v>
      </c>
      <c r="AP58" s="6">
        <v>0.185</v>
      </c>
      <c r="AQ58" s="6">
        <v>0</v>
      </c>
      <c r="AR58" s="6">
        <v>0</v>
      </c>
      <c r="AS58" s="6">
        <v>1.1000000000000001</v>
      </c>
      <c r="AT58" s="6">
        <v>0</v>
      </c>
      <c r="AU58" s="6">
        <v>1.65</v>
      </c>
      <c r="AV58" s="6">
        <v>3.3</v>
      </c>
      <c r="AW58" s="6">
        <v>2.41</v>
      </c>
      <c r="AX58" s="6">
        <v>3.81</v>
      </c>
      <c r="AY58" s="6">
        <v>1.77</v>
      </c>
      <c r="AZ58" s="6"/>
      <c r="BA58" s="6">
        <v>1.07</v>
      </c>
      <c r="BB58" s="6"/>
      <c r="BC58" s="6">
        <v>0.58599999999999997</v>
      </c>
      <c r="BD58" s="6"/>
      <c r="BE58" s="6">
        <v>43.3</v>
      </c>
      <c r="BF58" s="6">
        <v>53.4</v>
      </c>
      <c r="BG58" s="6">
        <v>12</v>
      </c>
      <c r="BH58" s="6">
        <v>0</v>
      </c>
      <c r="BI58" s="6"/>
      <c r="BJ58" s="6"/>
      <c r="BK58" s="6"/>
      <c r="BL58" s="6">
        <v>18.7</v>
      </c>
      <c r="BM58" s="6"/>
      <c r="BN58" s="6">
        <v>0</v>
      </c>
      <c r="BO58" s="6">
        <v>29.6</v>
      </c>
      <c r="BP58" s="6">
        <v>77.900000000000006</v>
      </c>
      <c r="BQ58" s="6"/>
      <c r="BR58" s="6">
        <v>0.01</v>
      </c>
      <c r="BS58" s="6"/>
      <c r="BT58" s="6"/>
      <c r="BU58" s="6">
        <v>510</v>
      </c>
      <c r="BV58" s="6">
        <v>0.128</v>
      </c>
      <c r="BW58" s="6">
        <v>0.17499999999999999</v>
      </c>
      <c r="BX58" s="6">
        <v>0</v>
      </c>
    </row>
    <row r="59" spans="1:76" x14ac:dyDescent="0.3">
      <c r="A59" s="8" t="s">
        <v>94</v>
      </c>
      <c r="B59" s="12" t="s">
        <v>123</v>
      </c>
      <c r="C59" s="12" t="str">
        <f t="shared" si="0"/>
        <v>162,1980-1985</v>
      </c>
      <c r="D59" s="9">
        <v>6.2</v>
      </c>
      <c r="E59" s="9">
        <v>11.025</v>
      </c>
      <c r="F59" s="9">
        <v>5.91</v>
      </c>
      <c r="G59" s="9">
        <v>12.8</v>
      </c>
      <c r="H59" s="9">
        <v>0.998</v>
      </c>
      <c r="I59" s="9">
        <v>7.13</v>
      </c>
      <c r="J59" s="9">
        <v>0.28399999999999997</v>
      </c>
      <c r="K59" s="9">
        <v>2.41</v>
      </c>
      <c r="L59" s="9">
        <v>3.375</v>
      </c>
      <c r="M59" s="9">
        <v>480</v>
      </c>
      <c r="N59" s="9">
        <v>192</v>
      </c>
      <c r="O59" s="9">
        <v>432</v>
      </c>
      <c r="P59" s="9">
        <v>480</v>
      </c>
      <c r="Q59" s="9">
        <v>5</v>
      </c>
      <c r="R59" s="9">
        <v>9</v>
      </c>
      <c r="S59" s="9">
        <v>264</v>
      </c>
      <c r="T59" s="9">
        <v>2520</v>
      </c>
      <c r="U59" s="9">
        <v>12</v>
      </c>
      <c r="V59" s="9">
        <v>15.93</v>
      </c>
      <c r="W59" s="9">
        <v>0</v>
      </c>
      <c r="X59" s="9">
        <v>41.49</v>
      </c>
      <c r="Y59" s="9">
        <v>8.9550000000000001</v>
      </c>
      <c r="Z59" s="9">
        <v>0.37709999999999999</v>
      </c>
      <c r="AA59" s="9">
        <v>0</v>
      </c>
      <c r="AB59" s="9">
        <v>3.51</v>
      </c>
      <c r="AC59" s="9">
        <v>0</v>
      </c>
      <c r="AD59" s="9">
        <v>0</v>
      </c>
      <c r="AE59" s="9">
        <v>0</v>
      </c>
      <c r="AF59" s="9">
        <v>9.0900000000000009E-3</v>
      </c>
      <c r="AG59" s="9">
        <v>0</v>
      </c>
      <c r="AH59" s="9">
        <v>0</v>
      </c>
      <c r="AI59" s="9">
        <v>0</v>
      </c>
      <c r="AJ59" s="9">
        <v>0</v>
      </c>
      <c r="AK59" s="9">
        <v>0</v>
      </c>
      <c r="AL59" s="9">
        <v>0</v>
      </c>
      <c r="AM59" s="9">
        <v>3.9600000000000003E-2</v>
      </c>
      <c r="AN59" s="9">
        <v>3.9600000000000003E-2</v>
      </c>
      <c r="AO59" s="9">
        <v>0.35399999999999998</v>
      </c>
      <c r="AP59" s="9">
        <v>0.24299999999999999</v>
      </c>
      <c r="AQ59" s="9">
        <v>0</v>
      </c>
      <c r="AR59" s="9">
        <v>0</v>
      </c>
      <c r="AS59" s="9">
        <v>1.65</v>
      </c>
      <c r="AT59" s="9">
        <v>0</v>
      </c>
      <c r="AU59" s="9">
        <v>1.65</v>
      </c>
      <c r="AV59" s="9">
        <v>6.6</v>
      </c>
      <c r="AW59" s="9">
        <v>2.89</v>
      </c>
      <c r="AX59" s="9">
        <v>4.57</v>
      </c>
      <c r="AY59" s="9">
        <v>2.13</v>
      </c>
      <c r="AZ59" s="9"/>
      <c r="BA59" s="9">
        <v>1.28</v>
      </c>
      <c r="BB59" s="9"/>
      <c r="BC59" s="9">
        <v>0.67</v>
      </c>
      <c r="BD59" s="9"/>
      <c r="BE59" s="9">
        <v>49.4</v>
      </c>
      <c r="BF59" s="9">
        <v>61</v>
      </c>
      <c r="BG59" s="9">
        <v>13.8</v>
      </c>
      <c r="BH59" s="9">
        <v>0</v>
      </c>
      <c r="BI59" s="9"/>
      <c r="BJ59" s="9"/>
      <c r="BK59" s="9"/>
      <c r="BL59" s="9">
        <v>12.5</v>
      </c>
      <c r="BM59" s="9"/>
      <c r="BN59" s="9">
        <v>0</v>
      </c>
      <c r="BO59" s="9">
        <v>31.9</v>
      </c>
      <c r="BP59" s="9">
        <v>83.9</v>
      </c>
      <c r="BQ59" s="9"/>
      <c r="BR59" s="9">
        <v>1.0800000000000001E-2</v>
      </c>
      <c r="BS59" s="9"/>
      <c r="BT59" s="9"/>
      <c r="BU59" s="9">
        <v>510</v>
      </c>
      <c r="BV59" s="9">
        <v>0.157</v>
      </c>
      <c r="BW59" s="9">
        <v>0.17499999999999999</v>
      </c>
      <c r="BX59" s="9">
        <v>0</v>
      </c>
    </row>
    <row r="60" spans="1:76" x14ac:dyDescent="0.3">
      <c r="A60" s="5" t="s">
        <v>94</v>
      </c>
      <c r="B60" s="11" t="s">
        <v>124</v>
      </c>
      <c r="C60" s="11" t="str">
        <f t="shared" si="0"/>
        <v>162,1985-1990</v>
      </c>
      <c r="D60" s="6">
        <v>6.2</v>
      </c>
      <c r="E60" s="6">
        <v>6.93</v>
      </c>
      <c r="F60" s="6">
        <v>5.91</v>
      </c>
      <c r="G60" s="6">
        <v>12.8</v>
      </c>
      <c r="H60" s="6">
        <v>0.998</v>
      </c>
      <c r="I60" s="6">
        <v>7.13</v>
      </c>
      <c r="J60" s="6">
        <v>0.28399999999999997</v>
      </c>
      <c r="K60" s="6">
        <v>2.41</v>
      </c>
      <c r="L60" s="6">
        <v>3.375</v>
      </c>
      <c r="M60" s="6">
        <v>480</v>
      </c>
      <c r="N60" s="6">
        <v>192</v>
      </c>
      <c r="O60" s="6">
        <v>432</v>
      </c>
      <c r="P60" s="6">
        <v>480</v>
      </c>
      <c r="Q60" s="6">
        <v>5</v>
      </c>
      <c r="R60" s="6">
        <v>9</v>
      </c>
      <c r="S60" s="6">
        <v>264</v>
      </c>
      <c r="T60" s="6">
        <v>2520</v>
      </c>
      <c r="U60" s="6">
        <v>12</v>
      </c>
      <c r="V60" s="6">
        <v>15.93</v>
      </c>
      <c r="W60" s="6">
        <v>0</v>
      </c>
      <c r="X60" s="6">
        <v>41.49</v>
      </c>
      <c r="Y60" s="6">
        <v>8.9550000000000001</v>
      </c>
      <c r="Z60" s="6">
        <v>0.37709999999999999</v>
      </c>
      <c r="AA60" s="6">
        <v>0</v>
      </c>
      <c r="AB60" s="6">
        <v>3.51</v>
      </c>
      <c r="AC60" s="6">
        <v>0</v>
      </c>
      <c r="AD60" s="6">
        <v>0</v>
      </c>
      <c r="AE60" s="6">
        <v>0</v>
      </c>
      <c r="AF60" s="6">
        <v>9.0900000000000009E-3</v>
      </c>
      <c r="AG60" s="6">
        <v>0</v>
      </c>
      <c r="AH60" s="6">
        <v>0</v>
      </c>
      <c r="AI60" s="6">
        <v>0</v>
      </c>
      <c r="AJ60" s="6">
        <v>0</v>
      </c>
      <c r="AK60" s="6">
        <v>0</v>
      </c>
      <c r="AL60" s="6">
        <v>0</v>
      </c>
      <c r="AM60" s="6">
        <v>5.5399999999999998E-2</v>
      </c>
      <c r="AN60" s="6">
        <v>5.5399999999999998E-2</v>
      </c>
      <c r="AO60" s="6">
        <v>0.438</v>
      </c>
      <c r="AP60" s="6">
        <v>0.3</v>
      </c>
      <c r="AQ60" s="6">
        <v>0</v>
      </c>
      <c r="AR60" s="6">
        <v>0</v>
      </c>
      <c r="AS60" s="6">
        <v>1.65</v>
      </c>
      <c r="AT60" s="6">
        <v>0</v>
      </c>
      <c r="AU60" s="6">
        <v>1.65</v>
      </c>
      <c r="AV60" s="6">
        <v>6.6</v>
      </c>
      <c r="AW60" s="6">
        <v>3.38</v>
      </c>
      <c r="AX60" s="6">
        <v>5.33</v>
      </c>
      <c r="AY60" s="6">
        <v>2.48</v>
      </c>
      <c r="AZ60" s="6"/>
      <c r="BA60" s="6">
        <v>1.5</v>
      </c>
      <c r="BB60" s="6"/>
      <c r="BC60" s="6">
        <v>0.753</v>
      </c>
      <c r="BD60" s="6"/>
      <c r="BE60" s="6">
        <v>55.6</v>
      </c>
      <c r="BF60" s="6">
        <v>68.7</v>
      </c>
      <c r="BG60" s="6">
        <v>15.5</v>
      </c>
      <c r="BH60" s="6">
        <v>0</v>
      </c>
      <c r="BI60" s="6"/>
      <c r="BJ60" s="6"/>
      <c r="BK60" s="6"/>
      <c r="BL60" s="6">
        <v>6.24</v>
      </c>
      <c r="BM60" s="6"/>
      <c r="BN60" s="6">
        <v>0</v>
      </c>
      <c r="BO60" s="6">
        <v>34.1</v>
      </c>
      <c r="BP60" s="6">
        <v>89.8</v>
      </c>
      <c r="BQ60" s="6"/>
      <c r="BR60" s="6">
        <v>1.1599999999999999E-2</v>
      </c>
      <c r="BS60" s="6"/>
      <c r="BT60" s="6"/>
      <c r="BU60" s="6">
        <v>510</v>
      </c>
      <c r="BV60" s="6">
        <v>0.185</v>
      </c>
      <c r="BW60" s="6">
        <v>0.17499999999999999</v>
      </c>
      <c r="BX60" s="6">
        <v>0</v>
      </c>
    </row>
    <row r="61" spans="1:76" x14ac:dyDescent="0.3">
      <c r="A61" s="8" t="s">
        <v>94</v>
      </c>
      <c r="B61" s="12" t="s">
        <v>125</v>
      </c>
      <c r="C61" s="12" t="str">
        <f t="shared" si="0"/>
        <v>162,1990-1995</v>
      </c>
      <c r="D61" s="9">
        <v>6.2</v>
      </c>
      <c r="E61" s="9">
        <v>6.93</v>
      </c>
      <c r="F61" s="9">
        <v>5.91</v>
      </c>
      <c r="G61" s="9">
        <v>12.8</v>
      </c>
      <c r="H61" s="9">
        <v>0.998</v>
      </c>
      <c r="I61" s="9">
        <v>7.13</v>
      </c>
      <c r="J61" s="9">
        <v>0.28399999999999997</v>
      </c>
      <c r="K61" s="9">
        <v>2.41</v>
      </c>
      <c r="L61" s="9">
        <v>3.375</v>
      </c>
      <c r="M61" s="9">
        <v>480</v>
      </c>
      <c r="N61" s="9">
        <v>192</v>
      </c>
      <c r="O61" s="9">
        <v>432</v>
      </c>
      <c r="P61" s="9">
        <v>480</v>
      </c>
      <c r="Q61" s="9">
        <v>5</v>
      </c>
      <c r="R61" s="9">
        <v>9</v>
      </c>
      <c r="S61" s="9">
        <v>264</v>
      </c>
      <c r="T61" s="9">
        <v>2520</v>
      </c>
      <c r="U61" s="9">
        <v>12</v>
      </c>
      <c r="V61" s="9">
        <v>15.93</v>
      </c>
      <c r="W61" s="9">
        <v>0</v>
      </c>
      <c r="X61" s="9">
        <v>41.49</v>
      </c>
      <c r="Y61" s="9">
        <v>8.9550000000000001</v>
      </c>
      <c r="Z61" s="9">
        <v>0.37709999999999999</v>
      </c>
      <c r="AA61" s="9">
        <v>0</v>
      </c>
      <c r="AB61" s="9">
        <v>3.51</v>
      </c>
      <c r="AC61" s="9">
        <v>0</v>
      </c>
      <c r="AD61" s="9">
        <v>0</v>
      </c>
      <c r="AE61" s="9">
        <v>0</v>
      </c>
      <c r="AF61" s="9">
        <v>9.0900000000000009E-3</v>
      </c>
      <c r="AG61" s="9">
        <v>0</v>
      </c>
      <c r="AH61" s="9">
        <v>0</v>
      </c>
      <c r="AI61" s="9">
        <v>0</v>
      </c>
      <c r="AJ61" s="9">
        <v>0</v>
      </c>
      <c r="AK61" s="9">
        <v>0</v>
      </c>
      <c r="AL61" s="9">
        <v>0</v>
      </c>
      <c r="AM61" s="9">
        <v>7.1099999999999997E-2</v>
      </c>
      <c r="AN61" s="9">
        <v>7.1099999999999997E-2</v>
      </c>
      <c r="AO61" s="9">
        <v>0.52200000000000002</v>
      </c>
      <c r="AP61" s="9">
        <v>0.35799999999999998</v>
      </c>
      <c r="AQ61" s="9">
        <v>0</v>
      </c>
      <c r="AR61" s="9">
        <v>0</v>
      </c>
      <c r="AS61" s="9">
        <v>2.2000000000000002</v>
      </c>
      <c r="AT61" s="9">
        <v>0.9</v>
      </c>
      <c r="AU61" s="9">
        <v>2.2000000000000002</v>
      </c>
      <c r="AV61" s="9">
        <v>6.6</v>
      </c>
      <c r="AW61" s="9">
        <v>3.86</v>
      </c>
      <c r="AX61" s="9">
        <v>6.09</v>
      </c>
      <c r="AY61" s="9">
        <v>2.84</v>
      </c>
      <c r="AZ61" s="9">
        <v>0</v>
      </c>
      <c r="BA61" s="9">
        <v>1.71</v>
      </c>
      <c r="BB61" s="9">
        <v>0</v>
      </c>
      <c r="BC61" s="9">
        <v>0.83699999999999997</v>
      </c>
      <c r="BD61" s="9">
        <v>0</v>
      </c>
      <c r="BE61" s="9">
        <v>61.8</v>
      </c>
      <c r="BF61" s="9">
        <v>76.3</v>
      </c>
      <c r="BG61" s="9">
        <v>17.2</v>
      </c>
      <c r="BH61" s="9">
        <v>0</v>
      </c>
      <c r="BI61" s="9">
        <v>0</v>
      </c>
      <c r="BJ61" s="9">
        <v>0</v>
      </c>
      <c r="BK61" s="9">
        <v>0</v>
      </c>
      <c r="BL61" s="9">
        <v>2.08</v>
      </c>
      <c r="BM61" s="9">
        <v>0</v>
      </c>
      <c r="BN61" s="9">
        <v>0</v>
      </c>
      <c r="BO61" s="9">
        <v>43.7</v>
      </c>
      <c r="BP61" s="9">
        <v>115</v>
      </c>
      <c r="BQ61" s="9">
        <v>0</v>
      </c>
      <c r="BR61" s="9">
        <v>1.4800000000000001E-2</v>
      </c>
      <c r="BS61" s="9">
        <v>0</v>
      </c>
      <c r="BT61" s="9">
        <v>0</v>
      </c>
      <c r="BU61" s="9">
        <v>510</v>
      </c>
      <c r="BV61" s="9">
        <v>0.185</v>
      </c>
      <c r="BW61" s="9">
        <v>8.7499999999999994E-2</v>
      </c>
      <c r="BX61" s="9">
        <v>0</v>
      </c>
    </row>
    <row r="62" spans="1:76" x14ac:dyDescent="0.3">
      <c r="A62" s="5" t="s">
        <v>94</v>
      </c>
      <c r="B62" s="11" t="s">
        <v>126</v>
      </c>
      <c r="C62" s="11" t="str">
        <f t="shared" si="0"/>
        <v>162,1995-2000</v>
      </c>
      <c r="D62" s="6">
        <v>6.2</v>
      </c>
      <c r="E62" s="6">
        <v>6.93</v>
      </c>
      <c r="F62" s="6">
        <v>5.91</v>
      </c>
      <c r="G62" s="6">
        <v>12.8</v>
      </c>
      <c r="H62" s="6">
        <v>0.998</v>
      </c>
      <c r="I62" s="6">
        <v>7.13</v>
      </c>
      <c r="J62" s="6">
        <v>0.28399999999999997</v>
      </c>
      <c r="K62" s="6">
        <v>4.5999999999999996</v>
      </c>
      <c r="L62" s="6">
        <v>3.375</v>
      </c>
      <c r="M62" s="6">
        <v>480</v>
      </c>
      <c r="N62" s="6">
        <v>192</v>
      </c>
      <c r="O62" s="6">
        <v>432</v>
      </c>
      <c r="P62" s="6">
        <v>480</v>
      </c>
      <c r="Q62" s="6">
        <v>4</v>
      </c>
      <c r="R62" s="6">
        <v>9</v>
      </c>
      <c r="S62" s="6">
        <v>264</v>
      </c>
      <c r="T62" s="6">
        <v>2520</v>
      </c>
      <c r="U62" s="6">
        <v>12</v>
      </c>
      <c r="V62" s="6">
        <v>15.93</v>
      </c>
      <c r="W62" s="6">
        <v>0</v>
      </c>
      <c r="X62" s="6">
        <v>41.49</v>
      </c>
      <c r="Y62" s="6">
        <v>8.9550000000000001</v>
      </c>
      <c r="Z62" s="6">
        <v>0.37709999999999999</v>
      </c>
      <c r="AA62" s="6">
        <v>0</v>
      </c>
      <c r="AB62" s="6">
        <v>3.51</v>
      </c>
      <c r="AC62" s="6">
        <v>0</v>
      </c>
      <c r="AD62" s="6">
        <v>0</v>
      </c>
      <c r="AE62" s="6">
        <v>0</v>
      </c>
      <c r="AF62" s="6">
        <v>9.0900000000000009E-3</v>
      </c>
      <c r="AG62" s="6">
        <v>0</v>
      </c>
      <c r="AH62" s="6">
        <v>0</v>
      </c>
      <c r="AI62" s="6">
        <v>0</v>
      </c>
      <c r="AJ62" s="6">
        <v>0</v>
      </c>
      <c r="AK62" s="6">
        <v>0</v>
      </c>
      <c r="AL62" s="6">
        <v>0</v>
      </c>
      <c r="AM62" s="6">
        <v>8.6900000000000005E-2</v>
      </c>
      <c r="AN62" s="6">
        <v>8.6900000000000005E-2</v>
      </c>
      <c r="AO62" s="6">
        <v>0.60599999999999998</v>
      </c>
      <c r="AP62" s="6">
        <v>0.41599999999999998</v>
      </c>
      <c r="AQ62" s="6">
        <v>0</v>
      </c>
      <c r="AR62" s="6">
        <v>0</v>
      </c>
      <c r="AS62" s="6">
        <v>2.2000000000000002</v>
      </c>
      <c r="AT62" s="6">
        <v>0.9</v>
      </c>
      <c r="AU62" s="6">
        <v>2.2000000000000002</v>
      </c>
      <c r="AV62" s="6">
        <v>6.6</v>
      </c>
      <c r="AW62" s="6">
        <v>3.93</v>
      </c>
      <c r="AX62" s="6">
        <v>6.6699995999999997</v>
      </c>
      <c r="AY62" s="6">
        <v>2.56</v>
      </c>
      <c r="AZ62" s="6">
        <v>0</v>
      </c>
      <c r="BA62" s="6">
        <v>0.98099999999999998</v>
      </c>
      <c r="BB62" s="6">
        <v>0</v>
      </c>
      <c r="BC62" s="6">
        <v>0.80300000000000005</v>
      </c>
      <c r="BD62" s="6">
        <v>0</v>
      </c>
      <c r="BE62" s="6">
        <v>53.7</v>
      </c>
      <c r="BF62" s="6">
        <v>72.599999999999994</v>
      </c>
      <c r="BG62" s="6">
        <v>9.31</v>
      </c>
      <c r="BH62" s="6">
        <v>0</v>
      </c>
      <c r="BI62" s="6">
        <v>0</v>
      </c>
      <c r="BJ62" s="6">
        <v>0</v>
      </c>
      <c r="BK62" s="6">
        <v>0</v>
      </c>
      <c r="BL62" s="6">
        <v>2.0499999999999998</v>
      </c>
      <c r="BM62" s="6">
        <v>0</v>
      </c>
      <c r="BN62" s="6">
        <v>0</v>
      </c>
      <c r="BO62" s="6">
        <v>33.700000000000003</v>
      </c>
      <c r="BP62" s="6">
        <v>85.2</v>
      </c>
      <c r="BQ62" s="6">
        <v>0</v>
      </c>
      <c r="BR62" s="6">
        <v>9.8300000000000002E-3</v>
      </c>
      <c r="BS62" s="6">
        <v>0</v>
      </c>
      <c r="BT62" s="6">
        <v>0</v>
      </c>
      <c r="BU62" s="6">
        <v>510</v>
      </c>
      <c r="BV62" s="6">
        <v>0.185</v>
      </c>
      <c r="BW62" s="6">
        <v>8.7499999999999994E-2</v>
      </c>
      <c r="BX62" s="6">
        <v>0</v>
      </c>
    </row>
    <row r="63" spans="1:76" x14ac:dyDescent="0.3">
      <c r="A63" s="8" t="s">
        <v>94</v>
      </c>
      <c r="B63" s="12" t="s">
        <v>127</v>
      </c>
      <c r="C63" s="12" t="str">
        <f t="shared" si="0"/>
        <v>162,2000-2005</v>
      </c>
      <c r="D63" s="9">
        <v>3.88</v>
      </c>
      <c r="E63" s="9">
        <v>6.93</v>
      </c>
      <c r="F63" s="9">
        <v>5.97</v>
      </c>
      <c r="G63" s="9">
        <v>9.77</v>
      </c>
      <c r="H63" s="9">
        <v>0.62</v>
      </c>
      <c r="I63" s="9">
        <v>5.67</v>
      </c>
      <c r="J63" s="9">
        <v>0.19800000000000001</v>
      </c>
      <c r="K63" s="9">
        <v>5.01</v>
      </c>
      <c r="L63" s="9">
        <v>3.375</v>
      </c>
      <c r="M63" s="9">
        <v>480</v>
      </c>
      <c r="N63" s="9">
        <v>168</v>
      </c>
      <c r="O63" s="9">
        <v>432</v>
      </c>
      <c r="P63" s="9">
        <v>509</v>
      </c>
      <c r="Q63" s="9">
        <v>4</v>
      </c>
      <c r="R63" s="9">
        <v>10</v>
      </c>
      <c r="S63" s="9">
        <v>264</v>
      </c>
      <c r="T63" s="9">
        <v>2160</v>
      </c>
      <c r="U63" s="9">
        <v>12</v>
      </c>
      <c r="V63" s="9">
        <v>15.93</v>
      </c>
      <c r="W63" s="9">
        <v>0</v>
      </c>
      <c r="X63" s="9">
        <v>41.49</v>
      </c>
      <c r="Y63" s="9">
        <v>8.9550000000000001</v>
      </c>
      <c r="Z63" s="9">
        <v>0.37709999999999999</v>
      </c>
      <c r="AA63" s="9">
        <v>0</v>
      </c>
      <c r="AB63" s="9">
        <v>3.51</v>
      </c>
      <c r="AC63" s="9">
        <v>0</v>
      </c>
      <c r="AD63" s="9">
        <v>0</v>
      </c>
      <c r="AE63" s="9">
        <v>0</v>
      </c>
      <c r="AF63" s="9">
        <v>9.0900000000000009E-3</v>
      </c>
      <c r="AG63" s="9">
        <v>0</v>
      </c>
      <c r="AH63" s="9">
        <v>0</v>
      </c>
      <c r="AI63" s="9">
        <v>0</v>
      </c>
      <c r="AJ63" s="9">
        <v>0</v>
      </c>
      <c r="AK63" s="9">
        <v>0</v>
      </c>
      <c r="AL63" s="9">
        <v>0</v>
      </c>
      <c r="AM63" s="9">
        <v>0.10299999999999999</v>
      </c>
      <c r="AN63" s="9">
        <v>0.10299999999999999</v>
      </c>
      <c r="AO63" s="9">
        <v>0.69</v>
      </c>
      <c r="AP63" s="9">
        <v>0.47299999999999998</v>
      </c>
      <c r="AQ63" s="9">
        <v>0</v>
      </c>
      <c r="AR63" s="9">
        <v>0</v>
      </c>
      <c r="AS63" s="9">
        <v>2.2000000000000002</v>
      </c>
      <c r="AT63" s="9">
        <v>0.9</v>
      </c>
      <c r="AU63" s="9">
        <v>2.2000000000000002</v>
      </c>
      <c r="AV63" s="9">
        <v>6.6</v>
      </c>
      <c r="AW63" s="9">
        <v>3.92</v>
      </c>
      <c r="AX63" s="9">
        <v>6.88</v>
      </c>
      <c r="AY63" s="9">
        <v>2.98</v>
      </c>
      <c r="AZ63" s="9">
        <v>0</v>
      </c>
      <c r="BA63" s="9">
        <v>0.81100000000000005</v>
      </c>
      <c r="BB63" s="9">
        <v>0</v>
      </c>
      <c r="BC63" s="9">
        <v>0.88</v>
      </c>
      <c r="BD63" s="9">
        <v>0</v>
      </c>
      <c r="BE63" s="9">
        <v>60.6</v>
      </c>
      <c r="BF63" s="9">
        <v>81</v>
      </c>
      <c r="BG63" s="9">
        <v>8.4499999999999993</v>
      </c>
      <c r="BH63" s="9">
        <v>0</v>
      </c>
      <c r="BI63" s="9">
        <v>0</v>
      </c>
      <c r="BJ63" s="9">
        <v>0</v>
      </c>
      <c r="BK63" s="9">
        <v>0</v>
      </c>
      <c r="BL63" s="9">
        <v>2.5</v>
      </c>
      <c r="BM63" s="9">
        <v>0</v>
      </c>
      <c r="BN63" s="9">
        <v>0</v>
      </c>
      <c r="BO63" s="9">
        <v>35</v>
      </c>
      <c r="BP63" s="9">
        <v>91.2</v>
      </c>
      <c r="BQ63" s="9">
        <v>0</v>
      </c>
      <c r="BR63" s="9">
        <v>9.4900000000000002E-3</v>
      </c>
      <c r="BS63" s="9">
        <v>0</v>
      </c>
      <c r="BT63" s="9">
        <v>0</v>
      </c>
      <c r="BU63" s="9">
        <v>510</v>
      </c>
      <c r="BV63" s="9">
        <v>0.185</v>
      </c>
      <c r="BW63" s="9">
        <v>8.7499999999999994E-2</v>
      </c>
      <c r="BX63" s="9">
        <v>0</v>
      </c>
    </row>
    <row r="64" spans="1:76" x14ac:dyDescent="0.3">
      <c r="A64" s="5" t="s">
        <v>94</v>
      </c>
      <c r="B64" s="11" t="s">
        <v>128</v>
      </c>
      <c r="C64" s="11" t="str">
        <f t="shared" si="0"/>
        <v>162,2005-2010</v>
      </c>
      <c r="D64" s="6">
        <v>2.2999999999999998</v>
      </c>
      <c r="E64" s="6">
        <v>6.93</v>
      </c>
      <c r="F64" s="6">
        <v>7.98</v>
      </c>
      <c r="G64" s="6">
        <v>11.8</v>
      </c>
      <c r="H64" s="6">
        <v>0.69099999999999995</v>
      </c>
      <c r="I64" s="6">
        <v>7.54</v>
      </c>
      <c r="J64" s="6">
        <v>0.27600000000000002</v>
      </c>
      <c r="K64" s="6">
        <v>12.7</v>
      </c>
      <c r="L64" s="6">
        <v>3.375</v>
      </c>
      <c r="M64" s="6">
        <v>480</v>
      </c>
      <c r="N64" s="6">
        <v>168</v>
      </c>
      <c r="O64" s="6">
        <v>432</v>
      </c>
      <c r="P64" s="6">
        <v>528</v>
      </c>
      <c r="Q64" s="6">
        <v>4</v>
      </c>
      <c r="R64" s="6">
        <v>10</v>
      </c>
      <c r="S64" s="6">
        <v>264</v>
      </c>
      <c r="T64" s="6">
        <v>2160</v>
      </c>
      <c r="U64" s="6">
        <v>12</v>
      </c>
      <c r="V64" s="6">
        <v>15.93</v>
      </c>
      <c r="W64" s="6">
        <v>0</v>
      </c>
      <c r="X64" s="6">
        <v>41.49</v>
      </c>
      <c r="Y64" s="6">
        <v>8.9550000000000001</v>
      </c>
      <c r="Z64" s="6">
        <v>0.37709999999999999</v>
      </c>
      <c r="AA64" s="6">
        <v>0</v>
      </c>
      <c r="AB64" s="6">
        <v>3.51</v>
      </c>
      <c r="AC64" s="6">
        <v>0</v>
      </c>
      <c r="AD64" s="6">
        <v>0</v>
      </c>
      <c r="AE64" s="6">
        <v>0</v>
      </c>
      <c r="AF64" s="6">
        <v>9.0900000000000009E-3</v>
      </c>
      <c r="AG64" s="6">
        <v>0</v>
      </c>
      <c r="AH64" s="6">
        <v>0</v>
      </c>
      <c r="AI64" s="6">
        <v>0</v>
      </c>
      <c r="AJ64" s="6">
        <v>0</v>
      </c>
      <c r="AK64" s="6">
        <v>0</v>
      </c>
      <c r="AL64" s="6">
        <v>0</v>
      </c>
      <c r="AM64" s="6">
        <v>0.11799999999999999</v>
      </c>
      <c r="AN64" s="6">
        <v>0.11799999999999999</v>
      </c>
      <c r="AO64" s="6">
        <v>0.77400000000000002</v>
      </c>
      <c r="AP64" s="6">
        <v>0.53100000000000003</v>
      </c>
      <c r="AQ64" s="6">
        <v>0</v>
      </c>
      <c r="AR64" s="6">
        <v>0</v>
      </c>
      <c r="AS64" s="6">
        <v>2.2000000000000002</v>
      </c>
      <c r="AT64" s="6">
        <v>0.9</v>
      </c>
      <c r="AU64" s="6">
        <v>2.2000000000000002</v>
      </c>
      <c r="AV64" s="6">
        <v>6.6</v>
      </c>
      <c r="AW64" s="6">
        <v>5.73</v>
      </c>
      <c r="AX64" s="6">
        <v>10.7</v>
      </c>
      <c r="AY64" s="6">
        <v>4.57</v>
      </c>
      <c r="AZ64" s="6">
        <v>0</v>
      </c>
      <c r="BA64" s="6">
        <v>1.2</v>
      </c>
      <c r="BB64" s="6">
        <v>0</v>
      </c>
      <c r="BC64" s="6">
        <v>1.1200000000000001</v>
      </c>
      <c r="BD64" s="6">
        <v>0</v>
      </c>
      <c r="BE64" s="6">
        <v>86.1</v>
      </c>
      <c r="BF64" s="6">
        <v>105</v>
      </c>
      <c r="BG64" s="6">
        <v>10.9</v>
      </c>
      <c r="BH64" s="6">
        <v>0</v>
      </c>
      <c r="BI64" s="6">
        <v>0</v>
      </c>
      <c r="BJ64" s="6">
        <v>0</v>
      </c>
      <c r="BK64" s="6">
        <v>0</v>
      </c>
      <c r="BL64" s="6">
        <v>3.48</v>
      </c>
      <c r="BM64" s="6">
        <v>0</v>
      </c>
      <c r="BN64" s="6">
        <v>0</v>
      </c>
      <c r="BO64" s="6">
        <v>43.9</v>
      </c>
      <c r="BP64" s="6">
        <v>122</v>
      </c>
      <c r="BQ64" s="6">
        <v>0</v>
      </c>
      <c r="BR64" s="6">
        <v>1.3299999999999999E-2</v>
      </c>
      <c r="BS64" s="6">
        <v>0</v>
      </c>
      <c r="BT64" s="6">
        <v>0</v>
      </c>
      <c r="BU64" s="6">
        <v>510</v>
      </c>
      <c r="BV64" s="6">
        <v>0.185</v>
      </c>
      <c r="BW64" s="6">
        <v>8.7499999999999994E-2</v>
      </c>
      <c r="BX64" s="6">
        <v>0</v>
      </c>
    </row>
    <row r="65" spans="1:76" x14ac:dyDescent="0.3">
      <c r="A65" s="8" t="s">
        <v>94</v>
      </c>
      <c r="B65" s="12" t="s">
        <v>129</v>
      </c>
      <c r="C65" s="12" t="str">
        <f t="shared" si="0"/>
        <v>162,2010-2015</v>
      </c>
      <c r="D65" s="9">
        <v>2.34</v>
      </c>
      <c r="E65" s="9">
        <v>6.93</v>
      </c>
      <c r="F65" s="9">
        <v>14.4</v>
      </c>
      <c r="G65" s="9">
        <v>17</v>
      </c>
      <c r="H65" s="9">
        <v>0.92900000000000005</v>
      </c>
      <c r="I65" s="9">
        <v>10.5</v>
      </c>
      <c r="J65" s="9">
        <v>0.39900000000000002</v>
      </c>
      <c r="K65" s="9">
        <v>5.74</v>
      </c>
      <c r="L65" s="9">
        <v>3.375</v>
      </c>
      <c r="M65" s="9">
        <v>480</v>
      </c>
      <c r="N65" s="9">
        <v>168</v>
      </c>
      <c r="O65" s="9">
        <v>432</v>
      </c>
      <c r="P65" s="9">
        <v>528</v>
      </c>
      <c r="Q65" s="9">
        <v>4</v>
      </c>
      <c r="R65" s="9">
        <v>10</v>
      </c>
      <c r="S65" s="9">
        <v>264</v>
      </c>
      <c r="T65" s="9">
        <v>2160</v>
      </c>
      <c r="U65" s="9">
        <v>12</v>
      </c>
      <c r="V65" s="9">
        <v>15.93</v>
      </c>
      <c r="W65" s="9">
        <v>0</v>
      </c>
      <c r="X65" s="9">
        <v>61.65</v>
      </c>
      <c r="Y65" s="9">
        <v>7.2450000000000001</v>
      </c>
      <c r="Z65" s="9">
        <v>0.19170000000000001</v>
      </c>
      <c r="AA65" s="9">
        <v>0</v>
      </c>
      <c r="AB65" s="9">
        <v>3.51</v>
      </c>
      <c r="AC65" s="9">
        <v>0</v>
      </c>
      <c r="AD65" s="9">
        <v>0</v>
      </c>
      <c r="AE65" s="9">
        <v>0</v>
      </c>
      <c r="AF65" s="9">
        <v>9.0900000000000009E-3</v>
      </c>
      <c r="AG65" s="9">
        <v>0</v>
      </c>
      <c r="AH65" s="9">
        <v>0</v>
      </c>
      <c r="AI65" s="9">
        <v>0</v>
      </c>
      <c r="AJ65" s="9">
        <v>0</v>
      </c>
      <c r="AK65" s="9">
        <v>0</v>
      </c>
      <c r="AL65" s="9">
        <v>0</v>
      </c>
      <c r="AM65" s="9">
        <v>0.13400000000000001</v>
      </c>
      <c r="AN65" s="9">
        <v>0.13400000000000001</v>
      </c>
      <c r="AO65" s="9">
        <v>0.85799999999999998</v>
      </c>
      <c r="AP65" s="9">
        <v>0.58799999999999997</v>
      </c>
      <c r="AQ65" s="9">
        <v>0</v>
      </c>
      <c r="AR65" s="9">
        <v>0</v>
      </c>
      <c r="AS65" s="9">
        <v>2.2000000000000002</v>
      </c>
      <c r="AT65" s="9">
        <v>0.9</v>
      </c>
      <c r="AU65" s="9">
        <v>2.2000000000000002</v>
      </c>
      <c r="AV65" s="9">
        <v>6.6</v>
      </c>
      <c r="AW65" s="9">
        <v>10.199999999999999</v>
      </c>
      <c r="AX65" s="9">
        <v>24.9</v>
      </c>
      <c r="AY65" s="9">
        <v>11.3</v>
      </c>
      <c r="AZ65" s="9">
        <v>0</v>
      </c>
      <c r="BA65" s="9">
        <v>2.1800000000000002</v>
      </c>
      <c r="BB65" s="9">
        <v>0</v>
      </c>
      <c r="BC65" s="9">
        <v>1.43</v>
      </c>
      <c r="BD65" s="9">
        <v>0</v>
      </c>
      <c r="BE65" s="9">
        <v>152</v>
      </c>
      <c r="BF65" s="9">
        <v>139</v>
      </c>
      <c r="BG65" s="9">
        <v>14.1</v>
      </c>
      <c r="BH65" s="9">
        <v>0</v>
      </c>
      <c r="BI65" s="9">
        <v>0</v>
      </c>
      <c r="BJ65" s="9">
        <v>0</v>
      </c>
      <c r="BK65" s="9">
        <v>0</v>
      </c>
      <c r="BL65" s="9">
        <v>6.52</v>
      </c>
      <c r="BM65" s="9">
        <v>0</v>
      </c>
      <c r="BN65" s="9">
        <v>0</v>
      </c>
      <c r="BO65" s="9">
        <v>71.8</v>
      </c>
      <c r="BP65" s="9">
        <v>260</v>
      </c>
      <c r="BQ65" s="9">
        <v>0</v>
      </c>
      <c r="BR65" s="9">
        <v>2.0400000000000001E-2</v>
      </c>
      <c r="BS65" s="9">
        <v>0</v>
      </c>
      <c r="BT65" s="9">
        <v>0</v>
      </c>
      <c r="BU65" s="9">
        <v>510</v>
      </c>
      <c r="BV65" s="9">
        <v>0.185</v>
      </c>
      <c r="BW65" s="9">
        <v>8.7499999999999994E-2</v>
      </c>
      <c r="BX65" s="9">
        <v>0</v>
      </c>
    </row>
    <row r="66" spans="1:76" x14ac:dyDescent="0.3">
      <c r="A66" s="5" t="s">
        <v>94</v>
      </c>
      <c r="B66" s="11" t="s">
        <v>130</v>
      </c>
      <c r="C66" s="11" t="str">
        <f t="shared" si="0"/>
        <v>162,2015-2020</v>
      </c>
      <c r="D66" s="6">
        <v>1.01</v>
      </c>
      <c r="E66" s="6">
        <v>6.93</v>
      </c>
      <c r="F66" s="6">
        <v>19.5</v>
      </c>
      <c r="G66" s="6">
        <v>10.5</v>
      </c>
      <c r="H66" s="6">
        <v>0.70099999999999996</v>
      </c>
      <c r="I66" s="6">
        <v>9.0399999999999991</v>
      </c>
      <c r="J66" s="6">
        <v>0.27700000000000002</v>
      </c>
      <c r="K66" s="6">
        <v>2.34</v>
      </c>
      <c r="L66" s="6">
        <v>3.375</v>
      </c>
      <c r="M66" s="6">
        <v>480</v>
      </c>
      <c r="N66" s="6">
        <v>168</v>
      </c>
      <c r="O66" s="6">
        <v>432</v>
      </c>
      <c r="P66" s="6">
        <v>456</v>
      </c>
      <c r="Q66" s="6">
        <v>4</v>
      </c>
      <c r="R66" s="6">
        <v>10</v>
      </c>
      <c r="S66" s="6">
        <v>264</v>
      </c>
      <c r="T66" s="6">
        <v>2160</v>
      </c>
      <c r="U66" s="6">
        <v>12</v>
      </c>
      <c r="V66" s="6">
        <v>15.93</v>
      </c>
      <c r="W66" s="6">
        <v>0</v>
      </c>
      <c r="X66" s="6">
        <v>69.75</v>
      </c>
      <c r="Y66" s="6">
        <v>4.9050000000000002</v>
      </c>
      <c r="Z66" s="6">
        <v>5.3999999999999999E-2</v>
      </c>
      <c r="AA66" s="6">
        <v>0</v>
      </c>
      <c r="AB66" s="6">
        <v>3.51</v>
      </c>
      <c r="AC66" s="6">
        <v>0</v>
      </c>
      <c r="AD66" s="6">
        <v>0</v>
      </c>
      <c r="AE66" s="6">
        <v>0</v>
      </c>
      <c r="AF66" s="6">
        <v>9.0900000000000009E-3</v>
      </c>
      <c r="AG66" s="6">
        <v>0</v>
      </c>
      <c r="AH66" s="6">
        <v>0</v>
      </c>
      <c r="AI66" s="6">
        <v>0</v>
      </c>
      <c r="AJ66" s="6">
        <v>0</v>
      </c>
      <c r="AK66" s="6">
        <v>0</v>
      </c>
      <c r="AL66" s="6">
        <v>0</v>
      </c>
      <c r="AM66" s="6">
        <v>0.15</v>
      </c>
      <c r="AN66" s="6">
        <v>0.15</v>
      </c>
      <c r="AO66" s="6">
        <v>0.94199999999999995</v>
      </c>
      <c r="AP66" s="6">
        <v>0.64600000000000002</v>
      </c>
      <c r="AQ66" s="6">
        <v>0</v>
      </c>
      <c r="AR66" s="6">
        <v>0</v>
      </c>
      <c r="AS66" s="6">
        <v>2.2000000000000002</v>
      </c>
      <c r="AT66" s="6">
        <v>0.9</v>
      </c>
      <c r="AU66" s="6">
        <v>2.2000000000000002</v>
      </c>
      <c r="AV66" s="6">
        <v>6.6</v>
      </c>
      <c r="AW66" s="6">
        <v>9.35</v>
      </c>
      <c r="AX66" s="6">
        <v>15.9</v>
      </c>
      <c r="AY66" s="6">
        <v>15.7</v>
      </c>
      <c r="AZ66" s="6">
        <v>0</v>
      </c>
      <c r="BA66" s="6">
        <v>1.42</v>
      </c>
      <c r="BB66" s="6">
        <v>0</v>
      </c>
      <c r="BC66" s="6">
        <v>1.18</v>
      </c>
      <c r="BD66" s="6">
        <v>0</v>
      </c>
      <c r="BE66" s="6">
        <v>153</v>
      </c>
      <c r="BF66" s="6">
        <v>120</v>
      </c>
      <c r="BG66" s="6">
        <v>8.3000000000000007</v>
      </c>
      <c r="BH66" s="6">
        <v>0</v>
      </c>
      <c r="BI66" s="6">
        <v>0</v>
      </c>
      <c r="BJ66" s="6">
        <v>0</v>
      </c>
      <c r="BK66" s="6">
        <v>0</v>
      </c>
      <c r="BL66" s="6">
        <v>6.66</v>
      </c>
      <c r="BM66" s="6">
        <v>0</v>
      </c>
      <c r="BN66" s="6">
        <v>0</v>
      </c>
      <c r="BO66" s="6">
        <v>70.2</v>
      </c>
      <c r="BP66" s="6">
        <v>177</v>
      </c>
      <c r="BQ66" s="6">
        <v>0</v>
      </c>
      <c r="BR66" s="6">
        <v>2.07E-2</v>
      </c>
      <c r="BS66" s="6">
        <v>0</v>
      </c>
      <c r="BT66" s="6">
        <v>0</v>
      </c>
      <c r="BU66" s="6">
        <v>510</v>
      </c>
      <c r="BV66" s="6">
        <v>0.185</v>
      </c>
      <c r="BW66" s="6">
        <v>8.7499999999999994E-2</v>
      </c>
      <c r="BX66" s="6">
        <v>0</v>
      </c>
    </row>
    <row r="67" spans="1:76" x14ac:dyDescent="0.3">
      <c r="A67" s="8" t="s">
        <v>94</v>
      </c>
      <c r="B67" s="12" t="s">
        <v>131</v>
      </c>
      <c r="C67" s="12" t="str">
        <f t="shared" ref="C67:C89" si="1">A67&amp;","&amp;B67</f>
        <v>162,2020-</v>
      </c>
      <c r="D67" s="9">
        <v>1.01</v>
      </c>
      <c r="E67" s="9">
        <v>6.93</v>
      </c>
      <c r="F67" s="9">
        <v>19.5</v>
      </c>
      <c r="G67" s="9">
        <v>10.5</v>
      </c>
      <c r="H67" s="9">
        <v>0.70099999999999996</v>
      </c>
      <c r="I67" s="9">
        <v>9.0399999999999991</v>
      </c>
      <c r="J67" s="9">
        <v>0.27700000000000002</v>
      </c>
      <c r="K67" s="9">
        <v>2.34</v>
      </c>
      <c r="L67" s="9">
        <v>3.375</v>
      </c>
      <c r="M67" s="9">
        <v>480</v>
      </c>
      <c r="N67" s="9">
        <v>168</v>
      </c>
      <c r="O67" s="9">
        <v>432</v>
      </c>
      <c r="P67" s="9">
        <v>456</v>
      </c>
      <c r="Q67" s="9">
        <v>4</v>
      </c>
      <c r="R67" s="9">
        <v>10</v>
      </c>
      <c r="S67" s="9">
        <v>264</v>
      </c>
      <c r="T67" s="9">
        <v>2160</v>
      </c>
      <c r="U67" s="9">
        <v>12</v>
      </c>
      <c r="V67" s="9">
        <v>15.93</v>
      </c>
      <c r="W67" s="9">
        <v>0</v>
      </c>
      <c r="X67" s="9">
        <v>76.5</v>
      </c>
      <c r="Y67" s="9">
        <v>5.13</v>
      </c>
      <c r="Z67" s="9">
        <v>3.9015000000000001E-2</v>
      </c>
      <c r="AA67" s="9">
        <v>0</v>
      </c>
      <c r="AB67" s="9">
        <v>3.51</v>
      </c>
      <c r="AC67" s="9">
        <v>0</v>
      </c>
      <c r="AD67" s="9">
        <v>0</v>
      </c>
      <c r="AE67" s="9">
        <v>0</v>
      </c>
      <c r="AF67" s="9">
        <v>9.0900000000000009E-3</v>
      </c>
      <c r="AG67" s="9">
        <v>0</v>
      </c>
      <c r="AH67" s="9">
        <v>0</v>
      </c>
      <c r="AI67" s="9">
        <v>0</v>
      </c>
      <c r="AJ67" s="9">
        <v>0</v>
      </c>
      <c r="AK67" s="9">
        <v>0</v>
      </c>
      <c r="AL67" s="9">
        <v>0</v>
      </c>
      <c r="AM67" s="9">
        <v>0.159</v>
      </c>
      <c r="AN67" s="9">
        <v>0.159</v>
      </c>
      <c r="AO67" s="9">
        <v>0.99199999999999999</v>
      </c>
      <c r="AP67" s="9">
        <v>0.68</v>
      </c>
      <c r="AQ67" s="9">
        <v>0</v>
      </c>
      <c r="AR67" s="9">
        <v>0</v>
      </c>
      <c r="AS67" s="9">
        <v>2.2000000000000002</v>
      </c>
      <c r="AT67" s="9">
        <v>0.9</v>
      </c>
      <c r="AU67" s="9">
        <v>2.2000000000000002</v>
      </c>
      <c r="AV67" s="9">
        <v>6.6</v>
      </c>
      <c r="AW67" s="9">
        <v>9.35</v>
      </c>
      <c r="AX67" s="9">
        <v>15.9</v>
      </c>
      <c r="AY67" s="9">
        <v>15.7</v>
      </c>
      <c r="AZ67" s="9">
        <v>0</v>
      </c>
      <c r="BA67" s="9">
        <v>1.42</v>
      </c>
      <c r="BB67" s="9">
        <v>0</v>
      </c>
      <c r="BC67" s="9">
        <v>1.18</v>
      </c>
      <c r="BD67" s="9">
        <v>0</v>
      </c>
      <c r="BE67" s="9">
        <v>153</v>
      </c>
      <c r="BF67" s="9">
        <v>120</v>
      </c>
      <c r="BG67" s="9">
        <v>8.3000000000000007</v>
      </c>
      <c r="BH67" s="9">
        <v>0</v>
      </c>
      <c r="BI67" s="9"/>
      <c r="BJ67" s="9"/>
      <c r="BK67" s="9">
        <v>0</v>
      </c>
      <c r="BL67" s="9">
        <v>6.66</v>
      </c>
      <c r="BM67" s="9">
        <v>0</v>
      </c>
      <c r="BN67" s="9">
        <v>0</v>
      </c>
      <c r="BO67" s="9">
        <v>70.2</v>
      </c>
      <c r="BP67" s="9">
        <v>177</v>
      </c>
      <c r="BQ67" s="9">
        <v>0</v>
      </c>
      <c r="BR67" s="9">
        <v>2.07E-2</v>
      </c>
      <c r="BS67" s="9">
        <v>0</v>
      </c>
      <c r="BT67" s="9">
        <v>0</v>
      </c>
      <c r="BU67" s="9">
        <v>510</v>
      </c>
      <c r="BV67" s="9">
        <v>0.185</v>
      </c>
      <c r="BW67" s="9">
        <v>8.7499999999999994E-2</v>
      </c>
      <c r="BX67" s="9">
        <v>0</v>
      </c>
    </row>
    <row r="68" spans="1:76" x14ac:dyDescent="0.3">
      <c r="A68" s="5" t="s">
        <v>88</v>
      </c>
      <c r="B68" s="11" t="s">
        <v>110</v>
      </c>
      <c r="C68" s="11" t="str">
        <f t="shared" si="1"/>
        <v>941,-1920</v>
      </c>
      <c r="D68" s="6">
        <v>5.4</v>
      </c>
      <c r="E68" s="6">
        <v>11.025</v>
      </c>
      <c r="F68" s="6">
        <v>14.6</v>
      </c>
      <c r="G68" s="6">
        <v>9.06</v>
      </c>
      <c r="H68" s="6">
        <v>1.08</v>
      </c>
      <c r="I68" s="6">
        <v>16.2</v>
      </c>
      <c r="J68" s="6">
        <v>0.66800000000000004</v>
      </c>
      <c r="K68" s="6">
        <v>1.0900000000000001</v>
      </c>
      <c r="L68" s="6">
        <v>3.375</v>
      </c>
      <c r="M68" s="6">
        <v>480</v>
      </c>
      <c r="N68" s="6">
        <v>0</v>
      </c>
      <c r="O68" s="6">
        <v>3</v>
      </c>
      <c r="P68" s="6">
        <v>360</v>
      </c>
      <c r="Q68" s="6">
        <v>5</v>
      </c>
      <c r="R68" s="6">
        <v>0</v>
      </c>
      <c r="S68" s="6">
        <v>0</v>
      </c>
      <c r="T68" s="6">
        <v>5400</v>
      </c>
      <c r="U68" s="6">
        <v>12</v>
      </c>
      <c r="V68" s="6">
        <v>14.805</v>
      </c>
      <c r="W68" s="6">
        <v>76.400000000000006</v>
      </c>
      <c r="X68" s="6">
        <v>43.335000000000001</v>
      </c>
      <c r="Y68" s="6">
        <v>21.6</v>
      </c>
      <c r="Z68" s="6">
        <v>0.72</v>
      </c>
      <c r="AA68" s="6">
        <v>2.7</v>
      </c>
      <c r="AB68" s="6">
        <v>5.58</v>
      </c>
      <c r="AC68" s="6">
        <v>0.23265</v>
      </c>
      <c r="AD68" s="6">
        <v>1.08</v>
      </c>
      <c r="AE68" s="6">
        <v>0</v>
      </c>
      <c r="AF68" s="6">
        <v>3.1320000000000001E-2</v>
      </c>
      <c r="AG68" s="6">
        <v>2.7855000000000001E-2</v>
      </c>
      <c r="AH68" s="6">
        <v>0</v>
      </c>
      <c r="AI68" s="6">
        <v>0</v>
      </c>
      <c r="AJ68" s="6">
        <v>0</v>
      </c>
      <c r="AK68" s="6">
        <v>0</v>
      </c>
      <c r="AL68" s="6">
        <v>0</v>
      </c>
      <c r="AM68" s="6">
        <v>0</v>
      </c>
      <c r="AN68" s="6">
        <v>0</v>
      </c>
      <c r="AO68" s="6">
        <v>0</v>
      </c>
      <c r="AP68" s="6">
        <v>0</v>
      </c>
      <c r="AQ68" s="6">
        <v>0</v>
      </c>
      <c r="AR68" s="6">
        <v>0</v>
      </c>
      <c r="AS68" s="6">
        <v>1.1000000000000001</v>
      </c>
      <c r="AT68" s="6">
        <v>0</v>
      </c>
      <c r="AU68" s="6">
        <v>1.65</v>
      </c>
      <c r="AV68" s="6">
        <v>3.3</v>
      </c>
      <c r="AW68" s="6">
        <v>0</v>
      </c>
      <c r="AX68" s="6">
        <v>0</v>
      </c>
      <c r="AY68" s="6">
        <v>0</v>
      </c>
      <c r="AZ68" s="6">
        <v>0</v>
      </c>
      <c r="BA68" s="6">
        <v>0</v>
      </c>
      <c r="BB68" s="6"/>
      <c r="BC68" s="6">
        <v>0</v>
      </c>
      <c r="BD68" s="6"/>
      <c r="BE68" s="6">
        <v>0</v>
      </c>
      <c r="BF68" s="6">
        <v>0</v>
      </c>
      <c r="BG68" s="6">
        <v>0</v>
      </c>
      <c r="BH68" s="6">
        <v>0</v>
      </c>
      <c r="BI68" s="6"/>
      <c r="BJ68" s="6"/>
      <c r="BK68" s="6">
        <v>3.53</v>
      </c>
      <c r="BL68" s="6">
        <v>8.2100000000000009</v>
      </c>
      <c r="BM68" s="6">
        <v>1.43</v>
      </c>
      <c r="BN68" s="6">
        <v>0</v>
      </c>
      <c r="BO68" s="6">
        <v>1.92</v>
      </c>
      <c r="BP68" s="6">
        <v>2.65</v>
      </c>
      <c r="BQ68" s="6"/>
      <c r="BR68" s="6"/>
      <c r="BS68" s="6"/>
      <c r="BT68" s="6"/>
      <c r="BU68" s="6">
        <v>100</v>
      </c>
      <c r="BV68" s="6">
        <v>0</v>
      </c>
      <c r="BW68" s="6">
        <v>0.17499999999999999</v>
      </c>
      <c r="BX68" s="6">
        <v>0</v>
      </c>
    </row>
    <row r="69" spans="1:76" x14ac:dyDescent="0.3">
      <c r="A69" s="8" t="s">
        <v>88</v>
      </c>
      <c r="B69" s="12" t="s">
        <v>111</v>
      </c>
      <c r="C69" s="12" t="str">
        <f t="shared" si="1"/>
        <v>941,1920-1925</v>
      </c>
      <c r="D69" s="9">
        <v>5.4</v>
      </c>
      <c r="E69" s="9">
        <v>11.025</v>
      </c>
      <c r="F69" s="9">
        <v>14.6</v>
      </c>
      <c r="G69" s="9">
        <v>9.06</v>
      </c>
      <c r="H69" s="9">
        <v>1.08</v>
      </c>
      <c r="I69" s="9">
        <v>16.2</v>
      </c>
      <c r="J69" s="9">
        <v>0.66800000000000004</v>
      </c>
      <c r="K69" s="9">
        <v>1.0900000000000001</v>
      </c>
      <c r="L69" s="9">
        <v>3.375</v>
      </c>
      <c r="M69" s="9">
        <v>480</v>
      </c>
      <c r="N69" s="9">
        <v>0</v>
      </c>
      <c r="O69" s="9">
        <v>31</v>
      </c>
      <c r="P69" s="9">
        <v>360</v>
      </c>
      <c r="Q69" s="9">
        <v>5</v>
      </c>
      <c r="R69" s="9">
        <v>0</v>
      </c>
      <c r="S69" s="9">
        <v>0</v>
      </c>
      <c r="T69" s="9">
        <v>4536</v>
      </c>
      <c r="U69" s="9">
        <v>12</v>
      </c>
      <c r="V69" s="9">
        <v>14.805</v>
      </c>
      <c r="W69" s="9">
        <v>71.8</v>
      </c>
      <c r="X69" s="9">
        <v>43.335000000000001</v>
      </c>
      <c r="Y69" s="9">
        <v>21.6</v>
      </c>
      <c r="Z69" s="9">
        <v>0.72</v>
      </c>
      <c r="AA69" s="9">
        <v>2.7</v>
      </c>
      <c r="AB69" s="9">
        <v>5.58</v>
      </c>
      <c r="AC69" s="9">
        <v>0.23265</v>
      </c>
      <c r="AD69" s="9">
        <v>1.08</v>
      </c>
      <c r="AE69" s="9">
        <v>0</v>
      </c>
      <c r="AF69" s="9">
        <v>3.1320000000000001E-2</v>
      </c>
      <c r="AG69" s="9">
        <v>2.7855000000000001E-2</v>
      </c>
      <c r="AH69" s="9">
        <v>0</v>
      </c>
      <c r="AI69" s="9">
        <v>0</v>
      </c>
      <c r="AJ69" s="9">
        <v>0</v>
      </c>
      <c r="AK69" s="9">
        <v>0</v>
      </c>
      <c r="AL69" s="9">
        <v>0</v>
      </c>
      <c r="AM69" s="9">
        <v>0</v>
      </c>
      <c r="AN69" s="9">
        <v>0</v>
      </c>
      <c r="AO69" s="9">
        <v>0</v>
      </c>
      <c r="AP69" s="9">
        <v>0</v>
      </c>
      <c r="AQ69" s="9">
        <v>0</v>
      </c>
      <c r="AR69" s="9">
        <v>0</v>
      </c>
      <c r="AS69" s="9">
        <v>1.1000000000000001</v>
      </c>
      <c r="AT69" s="9">
        <v>0</v>
      </c>
      <c r="AU69" s="9">
        <v>1.65</v>
      </c>
      <c r="AV69" s="9">
        <v>3.3</v>
      </c>
      <c r="AW69" s="9">
        <v>0</v>
      </c>
      <c r="AX69" s="9">
        <v>0</v>
      </c>
      <c r="AY69" s="9">
        <v>0</v>
      </c>
      <c r="AZ69" s="9">
        <v>0</v>
      </c>
      <c r="BA69" s="9">
        <v>0</v>
      </c>
      <c r="BB69" s="9"/>
      <c r="BC69" s="9">
        <v>0</v>
      </c>
      <c r="BD69" s="9"/>
      <c r="BE69" s="9">
        <v>0</v>
      </c>
      <c r="BF69" s="9">
        <v>0</v>
      </c>
      <c r="BG69" s="9">
        <v>0</v>
      </c>
      <c r="BH69" s="9">
        <v>0</v>
      </c>
      <c r="BI69" s="9"/>
      <c r="BJ69" s="9"/>
      <c r="BK69" s="9">
        <v>7.06</v>
      </c>
      <c r="BL69" s="9">
        <v>16.399999999999999</v>
      </c>
      <c r="BM69" s="9">
        <v>2.86</v>
      </c>
      <c r="BN69" s="9">
        <v>0</v>
      </c>
      <c r="BO69" s="9">
        <v>3.83</v>
      </c>
      <c r="BP69" s="9">
        <v>5.29</v>
      </c>
      <c r="BQ69" s="9"/>
      <c r="BR69" s="9"/>
      <c r="BS69" s="9"/>
      <c r="BT69" s="9"/>
      <c r="BU69" s="9">
        <v>139</v>
      </c>
      <c r="BV69" s="9">
        <v>0</v>
      </c>
      <c r="BW69" s="9">
        <v>0.17499999999999999</v>
      </c>
      <c r="BX69" s="9">
        <v>0</v>
      </c>
    </row>
    <row r="70" spans="1:76" x14ac:dyDescent="0.3">
      <c r="A70" s="5" t="s">
        <v>88</v>
      </c>
      <c r="B70" s="11" t="s">
        <v>112</v>
      </c>
      <c r="C70" s="11" t="str">
        <f t="shared" si="1"/>
        <v>941,1925-1930</v>
      </c>
      <c r="D70" s="6">
        <v>5.4</v>
      </c>
      <c r="E70" s="6">
        <v>11.025</v>
      </c>
      <c r="F70" s="6">
        <v>14.6</v>
      </c>
      <c r="G70" s="6">
        <v>9.06</v>
      </c>
      <c r="H70" s="6">
        <v>1.08</v>
      </c>
      <c r="I70" s="6">
        <v>16.2</v>
      </c>
      <c r="J70" s="6">
        <v>0.66800000000000004</v>
      </c>
      <c r="K70" s="6">
        <v>1.0900000000000001</v>
      </c>
      <c r="L70" s="6">
        <v>3.375</v>
      </c>
      <c r="M70" s="6">
        <v>480</v>
      </c>
      <c r="N70" s="6">
        <v>0</v>
      </c>
      <c r="O70" s="6">
        <v>58</v>
      </c>
      <c r="P70" s="6">
        <v>360</v>
      </c>
      <c r="Q70" s="6">
        <v>5</v>
      </c>
      <c r="R70" s="6">
        <v>0</v>
      </c>
      <c r="S70" s="6">
        <v>0</v>
      </c>
      <c r="T70" s="6">
        <v>4320</v>
      </c>
      <c r="U70" s="6">
        <v>12</v>
      </c>
      <c r="V70" s="6">
        <v>14.805</v>
      </c>
      <c r="W70" s="6">
        <v>67.3</v>
      </c>
      <c r="X70" s="6">
        <v>43.335000000000001</v>
      </c>
      <c r="Y70" s="6">
        <v>21.6</v>
      </c>
      <c r="Z70" s="6">
        <v>0.72</v>
      </c>
      <c r="AA70" s="6">
        <v>2.7</v>
      </c>
      <c r="AB70" s="6">
        <v>5.58</v>
      </c>
      <c r="AC70" s="6">
        <v>0.23265</v>
      </c>
      <c r="AD70" s="6">
        <v>1.08</v>
      </c>
      <c r="AE70" s="6">
        <v>0</v>
      </c>
      <c r="AF70" s="6">
        <v>3.1320000000000001E-2</v>
      </c>
      <c r="AG70" s="6">
        <v>2.7855000000000001E-2</v>
      </c>
      <c r="AH70" s="6">
        <v>0</v>
      </c>
      <c r="AI70" s="6">
        <v>0</v>
      </c>
      <c r="AJ70" s="6">
        <v>0</v>
      </c>
      <c r="AK70" s="6">
        <v>0</v>
      </c>
      <c r="AL70" s="6">
        <v>0</v>
      </c>
      <c r="AM70" s="6">
        <v>0</v>
      </c>
      <c r="AN70" s="6">
        <v>0</v>
      </c>
      <c r="AO70" s="6">
        <v>0</v>
      </c>
      <c r="AP70" s="6">
        <v>0</v>
      </c>
      <c r="AQ70" s="6">
        <v>0</v>
      </c>
      <c r="AR70" s="6">
        <v>0</v>
      </c>
      <c r="AS70" s="6">
        <v>1.1000000000000001</v>
      </c>
      <c r="AT70" s="6">
        <v>0</v>
      </c>
      <c r="AU70" s="6">
        <v>1.65</v>
      </c>
      <c r="AV70" s="6">
        <v>3.3</v>
      </c>
      <c r="AW70" s="6">
        <v>0</v>
      </c>
      <c r="AX70" s="6">
        <v>0</v>
      </c>
      <c r="AY70" s="6">
        <v>0</v>
      </c>
      <c r="AZ70" s="6">
        <v>0</v>
      </c>
      <c r="BA70" s="6">
        <v>0</v>
      </c>
      <c r="BB70" s="6"/>
      <c r="BC70" s="6">
        <v>0</v>
      </c>
      <c r="BD70" s="6"/>
      <c r="BE70" s="6">
        <v>0</v>
      </c>
      <c r="BF70" s="6">
        <v>0</v>
      </c>
      <c r="BG70" s="6">
        <v>0</v>
      </c>
      <c r="BH70" s="6">
        <v>0</v>
      </c>
      <c r="BI70" s="6"/>
      <c r="BJ70" s="6"/>
      <c r="BK70" s="6">
        <v>10.6</v>
      </c>
      <c r="BL70" s="6">
        <v>24.6</v>
      </c>
      <c r="BM70" s="6">
        <v>4.29</v>
      </c>
      <c r="BN70" s="6">
        <v>0</v>
      </c>
      <c r="BO70" s="6">
        <v>5.75</v>
      </c>
      <c r="BP70" s="6">
        <v>7.94</v>
      </c>
      <c r="BQ70" s="6"/>
      <c r="BR70" s="6"/>
      <c r="BS70" s="6"/>
      <c r="BT70" s="6"/>
      <c r="BU70" s="6">
        <v>178</v>
      </c>
      <c r="BV70" s="6">
        <v>0</v>
      </c>
      <c r="BW70" s="6">
        <v>0.17499999999999999</v>
      </c>
      <c r="BX70" s="6">
        <v>0</v>
      </c>
    </row>
    <row r="71" spans="1:76" x14ac:dyDescent="0.3">
      <c r="A71" s="8" t="s">
        <v>88</v>
      </c>
      <c r="B71" s="12" t="s">
        <v>113</v>
      </c>
      <c r="C71" s="12" t="str">
        <f t="shared" si="1"/>
        <v>941,1930-1935</v>
      </c>
      <c r="D71" s="9">
        <v>5.4</v>
      </c>
      <c r="E71" s="9">
        <v>11.025</v>
      </c>
      <c r="F71" s="9">
        <v>14.6</v>
      </c>
      <c r="G71" s="9">
        <v>9.06</v>
      </c>
      <c r="H71" s="9">
        <v>1.08</v>
      </c>
      <c r="I71" s="9">
        <v>16.2</v>
      </c>
      <c r="J71" s="9">
        <v>0.66800000000000004</v>
      </c>
      <c r="K71" s="9">
        <v>1.0900000000000001</v>
      </c>
      <c r="L71" s="9">
        <v>3.375</v>
      </c>
      <c r="M71" s="9">
        <v>480</v>
      </c>
      <c r="N71" s="9">
        <v>0</v>
      </c>
      <c r="O71" s="9">
        <v>84</v>
      </c>
      <c r="P71" s="9">
        <v>360</v>
      </c>
      <c r="Q71" s="9">
        <v>5</v>
      </c>
      <c r="R71" s="9">
        <v>0</v>
      </c>
      <c r="S71" s="9">
        <v>0</v>
      </c>
      <c r="T71" s="9">
        <v>3888</v>
      </c>
      <c r="U71" s="9">
        <v>12</v>
      </c>
      <c r="V71" s="9">
        <v>14.805</v>
      </c>
      <c r="W71" s="9">
        <v>62.7</v>
      </c>
      <c r="X71" s="9">
        <v>43.335000000000001</v>
      </c>
      <c r="Y71" s="9">
        <v>21.6</v>
      </c>
      <c r="Z71" s="9">
        <v>0.72</v>
      </c>
      <c r="AA71" s="9">
        <v>2.7</v>
      </c>
      <c r="AB71" s="9">
        <v>5.58</v>
      </c>
      <c r="AC71" s="9">
        <v>0.23265</v>
      </c>
      <c r="AD71" s="9">
        <v>1.08</v>
      </c>
      <c r="AE71" s="9">
        <v>0</v>
      </c>
      <c r="AF71" s="9">
        <v>3.1320000000000001E-2</v>
      </c>
      <c r="AG71" s="9">
        <v>2.7855000000000001E-2</v>
      </c>
      <c r="AH71" s="9">
        <v>0</v>
      </c>
      <c r="AI71" s="9">
        <v>0</v>
      </c>
      <c r="AJ71" s="9">
        <v>0</v>
      </c>
      <c r="AK71" s="9">
        <v>0</v>
      </c>
      <c r="AL71" s="9">
        <v>0</v>
      </c>
      <c r="AM71" s="9">
        <v>0</v>
      </c>
      <c r="AN71" s="9">
        <v>0</v>
      </c>
      <c r="AO71" s="9">
        <v>0</v>
      </c>
      <c r="AP71" s="9">
        <v>0</v>
      </c>
      <c r="AQ71" s="9">
        <v>0</v>
      </c>
      <c r="AR71" s="9">
        <v>0</v>
      </c>
      <c r="AS71" s="9">
        <v>1.1000000000000001</v>
      </c>
      <c r="AT71" s="9">
        <v>0</v>
      </c>
      <c r="AU71" s="9">
        <v>1.65</v>
      </c>
      <c r="AV71" s="9">
        <v>3.3</v>
      </c>
      <c r="AW71" s="9">
        <v>0</v>
      </c>
      <c r="AX71" s="9">
        <v>0</v>
      </c>
      <c r="AY71" s="9">
        <v>0</v>
      </c>
      <c r="AZ71" s="9">
        <v>0</v>
      </c>
      <c r="BA71" s="9">
        <v>0</v>
      </c>
      <c r="BB71" s="9"/>
      <c r="BC71" s="9">
        <v>0</v>
      </c>
      <c r="BD71" s="9"/>
      <c r="BE71" s="9">
        <v>0</v>
      </c>
      <c r="BF71" s="9">
        <v>0</v>
      </c>
      <c r="BG71" s="9">
        <v>0</v>
      </c>
      <c r="BH71" s="9">
        <v>0</v>
      </c>
      <c r="BI71" s="9"/>
      <c r="BJ71" s="9"/>
      <c r="BK71" s="9">
        <v>14.1</v>
      </c>
      <c r="BL71" s="9">
        <v>32.799999999999997</v>
      </c>
      <c r="BM71" s="9">
        <v>5.72</v>
      </c>
      <c r="BN71" s="9">
        <v>0</v>
      </c>
      <c r="BO71" s="9">
        <v>7.67</v>
      </c>
      <c r="BP71" s="9">
        <v>10.6</v>
      </c>
      <c r="BQ71" s="9"/>
      <c r="BR71" s="9"/>
      <c r="BS71" s="9"/>
      <c r="BT71" s="9"/>
      <c r="BU71" s="9">
        <v>218</v>
      </c>
      <c r="BV71" s="9">
        <v>0</v>
      </c>
      <c r="BW71" s="9">
        <v>0.17499999999999999</v>
      </c>
      <c r="BX71" s="9">
        <v>0</v>
      </c>
    </row>
    <row r="72" spans="1:76" x14ac:dyDescent="0.3">
      <c r="A72" s="5" t="s">
        <v>88</v>
      </c>
      <c r="B72" s="11" t="s">
        <v>114</v>
      </c>
      <c r="C72" s="11" t="str">
        <f t="shared" si="1"/>
        <v>941,1935-1940</v>
      </c>
      <c r="D72" s="6">
        <v>5.4</v>
      </c>
      <c r="E72" s="6">
        <v>11.025</v>
      </c>
      <c r="F72" s="6">
        <v>14.6</v>
      </c>
      <c r="G72" s="6">
        <v>9.06</v>
      </c>
      <c r="H72" s="6">
        <v>1.08</v>
      </c>
      <c r="I72" s="6">
        <v>16.2</v>
      </c>
      <c r="J72" s="6">
        <v>0.66800000000000004</v>
      </c>
      <c r="K72" s="6">
        <v>1.0900000000000001</v>
      </c>
      <c r="L72" s="6">
        <v>3.375</v>
      </c>
      <c r="M72" s="6">
        <v>480</v>
      </c>
      <c r="N72" s="6">
        <v>0</v>
      </c>
      <c r="O72" s="6">
        <v>110</v>
      </c>
      <c r="P72" s="6">
        <v>360</v>
      </c>
      <c r="Q72" s="6">
        <v>5</v>
      </c>
      <c r="R72" s="6">
        <v>0</v>
      </c>
      <c r="S72" s="6">
        <v>0</v>
      </c>
      <c r="T72" s="6">
        <v>3240</v>
      </c>
      <c r="U72" s="6">
        <v>12</v>
      </c>
      <c r="V72" s="6">
        <v>14.805</v>
      </c>
      <c r="W72" s="6">
        <v>58.2</v>
      </c>
      <c r="X72" s="6">
        <v>43.335000000000001</v>
      </c>
      <c r="Y72" s="6">
        <v>21.6</v>
      </c>
      <c r="Z72" s="6">
        <v>0.72</v>
      </c>
      <c r="AA72" s="6">
        <v>2.7</v>
      </c>
      <c r="AB72" s="6">
        <v>5.58</v>
      </c>
      <c r="AC72" s="6">
        <v>0.23265</v>
      </c>
      <c r="AD72" s="6">
        <v>1.08</v>
      </c>
      <c r="AE72" s="6">
        <v>0</v>
      </c>
      <c r="AF72" s="6">
        <v>3.1320000000000001E-2</v>
      </c>
      <c r="AG72" s="6">
        <v>2.7855000000000001E-2</v>
      </c>
      <c r="AH72" s="6">
        <v>0</v>
      </c>
      <c r="AI72" s="6">
        <v>0</v>
      </c>
      <c r="AJ72" s="6">
        <v>0</v>
      </c>
      <c r="AK72" s="6">
        <v>0</v>
      </c>
      <c r="AL72" s="6">
        <v>0</v>
      </c>
      <c r="AM72" s="6">
        <v>0</v>
      </c>
      <c r="AN72" s="6">
        <v>0</v>
      </c>
      <c r="AO72" s="6">
        <v>0</v>
      </c>
      <c r="AP72" s="6">
        <v>0</v>
      </c>
      <c r="AQ72" s="6">
        <v>0</v>
      </c>
      <c r="AR72" s="6">
        <v>0</v>
      </c>
      <c r="AS72" s="6">
        <v>1.1000000000000001</v>
      </c>
      <c r="AT72" s="6">
        <v>0</v>
      </c>
      <c r="AU72" s="6">
        <v>1.65</v>
      </c>
      <c r="AV72" s="6">
        <v>3.3</v>
      </c>
      <c r="AW72" s="6">
        <v>0</v>
      </c>
      <c r="AX72" s="6">
        <v>0</v>
      </c>
      <c r="AY72" s="6">
        <v>0</v>
      </c>
      <c r="AZ72" s="6">
        <v>0</v>
      </c>
      <c r="BA72" s="6">
        <v>0</v>
      </c>
      <c r="BB72" s="6"/>
      <c r="BC72" s="6">
        <v>0</v>
      </c>
      <c r="BD72" s="6"/>
      <c r="BE72" s="6">
        <v>0</v>
      </c>
      <c r="BF72" s="6">
        <v>0</v>
      </c>
      <c r="BG72" s="6">
        <v>0</v>
      </c>
      <c r="BH72" s="6">
        <v>0</v>
      </c>
      <c r="BI72" s="6"/>
      <c r="BJ72" s="6"/>
      <c r="BK72" s="6">
        <v>17.600000000000001</v>
      </c>
      <c r="BL72" s="6">
        <v>41</v>
      </c>
      <c r="BM72" s="6">
        <v>7.15</v>
      </c>
      <c r="BN72" s="6">
        <v>0</v>
      </c>
      <c r="BO72" s="6">
        <v>9.58</v>
      </c>
      <c r="BP72" s="6">
        <v>13.2</v>
      </c>
      <c r="BQ72" s="6"/>
      <c r="BR72" s="6"/>
      <c r="BS72" s="6"/>
      <c r="BT72" s="6"/>
      <c r="BU72" s="6">
        <v>257</v>
      </c>
      <c r="BV72" s="6">
        <v>0</v>
      </c>
      <c r="BW72" s="6">
        <v>0.17499999999999999</v>
      </c>
      <c r="BX72" s="6">
        <v>0</v>
      </c>
    </row>
    <row r="73" spans="1:76" x14ac:dyDescent="0.3">
      <c r="A73" s="8" t="s">
        <v>88</v>
      </c>
      <c r="B73" s="12" t="s">
        <v>115</v>
      </c>
      <c r="C73" s="12" t="str">
        <f t="shared" si="1"/>
        <v>941,1940-1945</v>
      </c>
      <c r="D73" s="9">
        <v>5.4</v>
      </c>
      <c r="E73" s="9">
        <v>11.025</v>
      </c>
      <c r="F73" s="9">
        <v>14.6</v>
      </c>
      <c r="G73" s="9">
        <v>9.06</v>
      </c>
      <c r="H73" s="9">
        <v>1.08</v>
      </c>
      <c r="I73" s="9">
        <v>16.2</v>
      </c>
      <c r="J73" s="9">
        <v>0.66800000000000004</v>
      </c>
      <c r="K73" s="9">
        <v>1.0900000000000001</v>
      </c>
      <c r="L73" s="9">
        <v>3.375</v>
      </c>
      <c r="M73" s="9">
        <v>480</v>
      </c>
      <c r="N73" s="9">
        <v>0</v>
      </c>
      <c r="O73" s="9">
        <v>159</v>
      </c>
      <c r="P73" s="9">
        <v>360</v>
      </c>
      <c r="Q73" s="9">
        <v>5</v>
      </c>
      <c r="R73" s="9">
        <v>0</v>
      </c>
      <c r="S73" s="9">
        <v>24</v>
      </c>
      <c r="T73" s="9">
        <v>3240</v>
      </c>
      <c r="U73" s="9">
        <v>12</v>
      </c>
      <c r="V73" s="9">
        <v>14.805</v>
      </c>
      <c r="W73" s="9">
        <v>53.6</v>
      </c>
      <c r="X73" s="9">
        <v>43.335000000000001</v>
      </c>
      <c r="Y73" s="9">
        <v>21.6</v>
      </c>
      <c r="Z73" s="9">
        <v>0.72</v>
      </c>
      <c r="AA73" s="9">
        <v>2.7</v>
      </c>
      <c r="AB73" s="9">
        <v>5.58</v>
      </c>
      <c r="AC73" s="9">
        <v>0.23265</v>
      </c>
      <c r="AD73" s="9">
        <v>1.08</v>
      </c>
      <c r="AE73" s="9">
        <v>0</v>
      </c>
      <c r="AF73" s="9">
        <v>3.1320000000000001E-2</v>
      </c>
      <c r="AG73" s="9">
        <v>2.7855000000000001E-2</v>
      </c>
      <c r="AH73" s="9">
        <v>0</v>
      </c>
      <c r="AI73" s="9">
        <v>0</v>
      </c>
      <c r="AJ73" s="9">
        <v>0</v>
      </c>
      <c r="AK73" s="9">
        <v>0</v>
      </c>
      <c r="AL73" s="9">
        <v>0</v>
      </c>
      <c r="AM73" s="9">
        <v>0</v>
      </c>
      <c r="AN73" s="9">
        <v>0</v>
      </c>
      <c r="AO73" s="9">
        <v>0</v>
      </c>
      <c r="AP73" s="9">
        <v>0</v>
      </c>
      <c r="AQ73" s="9">
        <v>0</v>
      </c>
      <c r="AR73" s="9">
        <v>0</v>
      </c>
      <c r="AS73" s="9">
        <v>1.1000000000000001</v>
      </c>
      <c r="AT73" s="9">
        <v>0</v>
      </c>
      <c r="AU73" s="9">
        <v>1.65</v>
      </c>
      <c r="AV73" s="9">
        <v>3.3</v>
      </c>
      <c r="AW73" s="9">
        <v>0</v>
      </c>
      <c r="AX73" s="9">
        <v>0</v>
      </c>
      <c r="AY73" s="9">
        <v>0</v>
      </c>
      <c r="AZ73" s="9">
        <v>0</v>
      </c>
      <c r="BA73" s="9">
        <v>0</v>
      </c>
      <c r="BB73" s="9"/>
      <c r="BC73" s="9">
        <v>0</v>
      </c>
      <c r="BD73" s="9"/>
      <c r="BE73" s="9">
        <v>0</v>
      </c>
      <c r="BF73" s="9">
        <v>0</v>
      </c>
      <c r="BG73" s="9">
        <v>0</v>
      </c>
      <c r="BH73" s="9">
        <v>0</v>
      </c>
      <c r="BI73" s="9"/>
      <c r="BJ73" s="9"/>
      <c r="BK73" s="9">
        <v>25.4</v>
      </c>
      <c r="BL73" s="9">
        <v>59.1</v>
      </c>
      <c r="BM73" s="9">
        <v>10.3</v>
      </c>
      <c r="BN73" s="9">
        <v>0</v>
      </c>
      <c r="BO73" s="9">
        <v>11.5</v>
      </c>
      <c r="BP73" s="9">
        <v>15.9</v>
      </c>
      <c r="BQ73" s="9"/>
      <c r="BR73" s="9"/>
      <c r="BS73" s="9"/>
      <c r="BT73" s="9"/>
      <c r="BU73" s="9">
        <v>296</v>
      </c>
      <c r="BV73" s="9">
        <v>0</v>
      </c>
      <c r="BW73" s="9">
        <v>0.17499999999999999</v>
      </c>
      <c r="BX73" s="9">
        <v>0</v>
      </c>
    </row>
    <row r="74" spans="1:76" x14ac:dyDescent="0.3">
      <c r="A74" s="5" t="s">
        <v>88</v>
      </c>
      <c r="B74" s="11" t="s">
        <v>116</v>
      </c>
      <c r="C74" s="11" t="str">
        <f t="shared" si="1"/>
        <v>941,1945-1950</v>
      </c>
      <c r="D74" s="6">
        <v>5.4</v>
      </c>
      <c r="E74" s="6">
        <v>11.025</v>
      </c>
      <c r="F74" s="6">
        <v>14.6</v>
      </c>
      <c r="G74" s="6">
        <v>9.06</v>
      </c>
      <c r="H74" s="6">
        <v>1.08</v>
      </c>
      <c r="I74" s="6">
        <v>16.2</v>
      </c>
      <c r="J74" s="6">
        <v>0.66800000000000004</v>
      </c>
      <c r="K74" s="6">
        <v>1.0900000000000001</v>
      </c>
      <c r="L74" s="6">
        <v>3.375</v>
      </c>
      <c r="M74" s="6">
        <v>480</v>
      </c>
      <c r="N74" s="6">
        <v>0</v>
      </c>
      <c r="O74" s="6">
        <v>189</v>
      </c>
      <c r="P74" s="6">
        <v>360</v>
      </c>
      <c r="Q74" s="6">
        <v>5</v>
      </c>
      <c r="R74" s="6">
        <v>0</v>
      </c>
      <c r="S74" s="6">
        <v>24</v>
      </c>
      <c r="T74" s="6">
        <v>3240</v>
      </c>
      <c r="U74" s="6">
        <v>12</v>
      </c>
      <c r="V74" s="6">
        <v>14.805</v>
      </c>
      <c r="W74" s="6">
        <v>49.1</v>
      </c>
      <c r="X74" s="6">
        <v>43.335000000000001</v>
      </c>
      <c r="Y74" s="6">
        <v>21.6</v>
      </c>
      <c r="Z74" s="6">
        <v>0.72</v>
      </c>
      <c r="AA74" s="6">
        <v>2.7</v>
      </c>
      <c r="AB74" s="6">
        <v>5.58</v>
      </c>
      <c r="AC74" s="6">
        <v>0.23265</v>
      </c>
      <c r="AD74" s="6">
        <v>1.08</v>
      </c>
      <c r="AE74" s="6">
        <v>0</v>
      </c>
      <c r="AF74" s="6">
        <v>3.1320000000000001E-2</v>
      </c>
      <c r="AG74" s="6">
        <v>2.7855000000000001E-2</v>
      </c>
      <c r="AH74" s="6">
        <v>0</v>
      </c>
      <c r="AI74" s="6">
        <v>0</v>
      </c>
      <c r="AJ74" s="6">
        <v>0</v>
      </c>
      <c r="AK74" s="6">
        <v>0</v>
      </c>
      <c r="AL74" s="6">
        <v>0</v>
      </c>
      <c r="AM74" s="6">
        <v>0</v>
      </c>
      <c r="AN74" s="6">
        <v>0</v>
      </c>
      <c r="AO74" s="6">
        <v>0</v>
      </c>
      <c r="AP74" s="6">
        <v>0</v>
      </c>
      <c r="AQ74" s="6">
        <v>0</v>
      </c>
      <c r="AR74" s="6">
        <v>0</v>
      </c>
      <c r="AS74" s="6">
        <v>1.1000000000000001</v>
      </c>
      <c r="AT74" s="6">
        <v>0</v>
      </c>
      <c r="AU74" s="6">
        <v>1.65</v>
      </c>
      <c r="AV74" s="6">
        <v>3.3</v>
      </c>
      <c r="AW74" s="6">
        <v>0</v>
      </c>
      <c r="AX74" s="6">
        <v>0</v>
      </c>
      <c r="AY74" s="6">
        <v>0</v>
      </c>
      <c r="AZ74" s="6">
        <v>0</v>
      </c>
      <c r="BA74" s="6">
        <v>0</v>
      </c>
      <c r="BB74" s="6"/>
      <c r="BC74" s="6">
        <v>0.32500000000000001</v>
      </c>
      <c r="BD74" s="6"/>
      <c r="BE74" s="6">
        <v>9.2200000000000006</v>
      </c>
      <c r="BF74" s="6">
        <v>11.6</v>
      </c>
      <c r="BG74" s="6">
        <v>0.63300000000000001</v>
      </c>
      <c r="BH74" s="6">
        <v>0</v>
      </c>
      <c r="BI74" s="6"/>
      <c r="BJ74" s="6"/>
      <c r="BK74" s="6">
        <v>21.2</v>
      </c>
      <c r="BL74" s="6">
        <v>49.3</v>
      </c>
      <c r="BM74" s="6">
        <v>8.6</v>
      </c>
      <c r="BN74" s="6">
        <v>0</v>
      </c>
      <c r="BO74" s="6">
        <v>13.4</v>
      </c>
      <c r="BP74" s="6">
        <v>18.5</v>
      </c>
      <c r="BQ74" s="6"/>
      <c r="BR74" s="6"/>
      <c r="BS74" s="6"/>
      <c r="BT74" s="6"/>
      <c r="BU74" s="6">
        <v>335</v>
      </c>
      <c r="BV74" s="6">
        <v>0</v>
      </c>
      <c r="BW74" s="6">
        <v>0.17499999999999999</v>
      </c>
      <c r="BX74" s="6">
        <v>0</v>
      </c>
    </row>
    <row r="75" spans="1:76" x14ac:dyDescent="0.3">
      <c r="A75" s="8" t="s">
        <v>88</v>
      </c>
      <c r="B75" s="12" t="s">
        <v>117</v>
      </c>
      <c r="C75" s="12" t="str">
        <f t="shared" si="1"/>
        <v>941,1950-1955</v>
      </c>
      <c r="D75" s="9">
        <v>5.4</v>
      </c>
      <c r="E75" s="9">
        <v>11.025</v>
      </c>
      <c r="F75" s="9">
        <v>14.6</v>
      </c>
      <c r="G75" s="9">
        <v>9.06</v>
      </c>
      <c r="H75" s="9">
        <v>1.08</v>
      </c>
      <c r="I75" s="9">
        <v>16.2</v>
      </c>
      <c r="J75" s="9">
        <v>0.66800000000000004</v>
      </c>
      <c r="K75" s="9">
        <v>1.0900000000000001</v>
      </c>
      <c r="L75" s="9">
        <v>3.375</v>
      </c>
      <c r="M75" s="9">
        <v>480</v>
      </c>
      <c r="N75" s="9">
        <v>360</v>
      </c>
      <c r="O75" s="9">
        <v>220</v>
      </c>
      <c r="P75" s="9">
        <v>427</v>
      </c>
      <c r="Q75" s="9">
        <v>5</v>
      </c>
      <c r="R75" s="9">
        <v>4</v>
      </c>
      <c r="S75" s="9">
        <v>192</v>
      </c>
      <c r="T75" s="9">
        <v>2952</v>
      </c>
      <c r="U75" s="9">
        <v>12</v>
      </c>
      <c r="V75" s="9">
        <v>14.805</v>
      </c>
      <c r="W75" s="9">
        <v>44.6</v>
      </c>
      <c r="X75" s="9">
        <v>43.335000000000001</v>
      </c>
      <c r="Y75" s="9">
        <v>21.6</v>
      </c>
      <c r="Z75" s="9">
        <v>0.72</v>
      </c>
      <c r="AA75" s="9">
        <v>2.7</v>
      </c>
      <c r="AB75" s="9">
        <v>5.58</v>
      </c>
      <c r="AC75" s="9">
        <v>0.23265</v>
      </c>
      <c r="AD75" s="9">
        <v>1.08</v>
      </c>
      <c r="AE75" s="9">
        <v>0</v>
      </c>
      <c r="AF75" s="9">
        <v>3.1320000000000001E-2</v>
      </c>
      <c r="AG75" s="9">
        <v>2.7855000000000001E-2</v>
      </c>
      <c r="AH75" s="9">
        <v>0</v>
      </c>
      <c r="AI75" s="9">
        <v>0</v>
      </c>
      <c r="AJ75" s="9">
        <v>0</v>
      </c>
      <c r="AK75" s="9">
        <v>0</v>
      </c>
      <c r="AL75" s="9">
        <v>0</v>
      </c>
      <c r="AM75" s="9">
        <v>0</v>
      </c>
      <c r="AN75" s="9">
        <v>0</v>
      </c>
      <c r="AO75" s="9">
        <v>2.1100000000000001E-2</v>
      </c>
      <c r="AP75" s="9">
        <v>1.4500000000000001E-2</v>
      </c>
      <c r="AQ75" s="9">
        <v>0</v>
      </c>
      <c r="AR75" s="9">
        <v>0</v>
      </c>
      <c r="AS75" s="9">
        <v>1.1000000000000001</v>
      </c>
      <c r="AT75" s="9">
        <v>0</v>
      </c>
      <c r="AU75" s="9">
        <v>1.65</v>
      </c>
      <c r="AV75" s="9">
        <v>3.3</v>
      </c>
      <c r="AW75" s="9">
        <v>0</v>
      </c>
      <c r="AX75" s="9">
        <v>0</v>
      </c>
      <c r="AY75" s="9">
        <v>0</v>
      </c>
      <c r="AZ75" s="9">
        <v>0</v>
      </c>
      <c r="BA75" s="9">
        <v>0</v>
      </c>
      <c r="BB75" s="9"/>
      <c r="BC75" s="9">
        <v>0.65</v>
      </c>
      <c r="BD75" s="9"/>
      <c r="BE75" s="9">
        <v>18.399999999999999</v>
      </c>
      <c r="BF75" s="9">
        <v>23.1</v>
      </c>
      <c r="BG75" s="9">
        <v>1.27</v>
      </c>
      <c r="BH75" s="9">
        <v>0</v>
      </c>
      <c r="BI75" s="9"/>
      <c r="BJ75" s="9"/>
      <c r="BK75" s="9">
        <v>16.899999999999999</v>
      </c>
      <c r="BL75" s="9">
        <v>39.4</v>
      </c>
      <c r="BM75" s="9">
        <v>6.88</v>
      </c>
      <c r="BN75" s="9">
        <v>0</v>
      </c>
      <c r="BO75" s="9">
        <v>15.3</v>
      </c>
      <c r="BP75" s="9">
        <v>21.2</v>
      </c>
      <c r="BQ75" s="9"/>
      <c r="BR75" s="9"/>
      <c r="BS75" s="9"/>
      <c r="BT75" s="9"/>
      <c r="BU75" s="9">
        <v>374</v>
      </c>
      <c r="BV75" s="9">
        <v>0</v>
      </c>
      <c r="BW75" s="9">
        <v>0.17499999999999999</v>
      </c>
      <c r="BX75" s="9">
        <v>0</v>
      </c>
    </row>
    <row r="76" spans="1:76" x14ac:dyDescent="0.3">
      <c r="A76" s="5" t="s">
        <v>88</v>
      </c>
      <c r="B76" s="11" t="s">
        <v>118</v>
      </c>
      <c r="C76" s="11" t="str">
        <f t="shared" si="1"/>
        <v>941,1955-1960</v>
      </c>
      <c r="D76" s="6">
        <v>5.4</v>
      </c>
      <c r="E76" s="6">
        <v>11.025</v>
      </c>
      <c r="F76" s="6">
        <v>14.6</v>
      </c>
      <c r="G76" s="6">
        <v>9.06</v>
      </c>
      <c r="H76" s="6">
        <v>1.08</v>
      </c>
      <c r="I76" s="6">
        <v>16.2</v>
      </c>
      <c r="J76" s="6">
        <v>0.66800000000000004</v>
      </c>
      <c r="K76" s="6">
        <v>1.0900000000000001</v>
      </c>
      <c r="L76" s="6">
        <v>3.375</v>
      </c>
      <c r="M76" s="6">
        <v>480</v>
      </c>
      <c r="N76" s="6">
        <v>480</v>
      </c>
      <c r="O76" s="6">
        <v>250</v>
      </c>
      <c r="P76" s="6">
        <v>518</v>
      </c>
      <c r="Q76" s="6">
        <v>5</v>
      </c>
      <c r="R76" s="6">
        <v>7</v>
      </c>
      <c r="S76" s="6">
        <v>317</v>
      </c>
      <c r="T76" s="6">
        <v>2520</v>
      </c>
      <c r="U76" s="6">
        <v>12</v>
      </c>
      <c r="V76" s="6">
        <v>14.805</v>
      </c>
      <c r="W76" s="6">
        <v>40</v>
      </c>
      <c r="X76" s="6">
        <v>43.335000000000001</v>
      </c>
      <c r="Y76" s="6">
        <v>21.6</v>
      </c>
      <c r="Z76" s="6">
        <v>0.72</v>
      </c>
      <c r="AA76" s="6">
        <v>2.7</v>
      </c>
      <c r="AB76" s="6">
        <v>5.58</v>
      </c>
      <c r="AC76" s="6">
        <v>0.23265</v>
      </c>
      <c r="AD76" s="6">
        <v>1.08</v>
      </c>
      <c r="AE76" s="6">
        <v>0</v>
      </c>
      <c r="AF76" s="6">
        <v>3.1320000000000001E-2</v>
      </c>
      <c r="AG76" s="6">
        <v>2.7855000000000001E-2</v>
      </c>
      <c r="AH76" s="6">
        <v>0</v>
      </c>
      <c r="AI76" s="6">
        <v>0</v>
      </c>
      <c r="AJ76" s="6">
        <v>0</v>
      </c>
      <c r="AK76" s="6">
        <v>0</v>
      </c>
      <c r="AL76" s="6">
        <v>0</v>
      </c>
      <c r="AM76" s="6">
        <v>0</v>
      </c>
      <c r="AN76" s="6">
        <v>0</v>
      </c>
      <c r="AO76" s="6">
        <v>0.10199999999999999</v>
      </c>
      <c r="AP76" s="6">
        <v>6.9900000000000004E-2</v>
      </c>
      <c r="AQ76" s="6">
        <v>0</v>
      </c>
      <c r="AR76" s="6">
        <v>0</v>
      </c>
      <c r="AS76" s="6">
        <v>1.1000000000000001</v>
      </c>
      <c r="AT76" s="6">
        <v>0</v>
      </c>
      <c r="AU76" s="6">
        <v>1.65</v>
      </c>
      <c r="AV76" s="6">
        <v>3.3</v>
      </c>
      <c r="AW76" s="6">
        <v>1.56</v>
      </c>
      <c r="AX76" s="6">
        <v>7.05</v>
      </c>
      <c r="AY76" s="6">
        <v>0.43</v>
      </c>
      <c r="AZ76" s="6">
        <v>0.55000000000000004</v>
      </c>
      <c r="BA76" s="6">
        <v>1.1499999999999999</v>
      </c>
      <c r="BB76" s="6"/>
      <c r="BC76" s="6">
        <v>0.97499999999999998</v>
      </c>
      <c r="BD76" s="6"/>
      <c r="BE76" s="6">
        <v>27.6</v>
      </c>
      <c r="BF76" s="6">
        <v>34.700000000000003</v>
      </c>
      <c r="BG76" s="6">
        <v>1.9</v>
      </c>
      <c r="BH76" s="6">
        <v>0</v>
      </c>
      <c r="BI76" s="6"/>
      <c r="BJ76" s="6"/>
      <c r="BK76" s="6">
        <v>12.7</v>
      </c>
      <c r="BL76" s="6">
        <v>29.6</v>
      </c>
      <c r="BM76" s="6">
        <v>5.16</v>
      </c>
      <c r="BN76" s="6">
        <v>0</v>
      </c>
      <c r="BO76" s="6">
        <v>17.3</v>
      </c>
      <c r="BP76" s="6">
        <v>23.8</v>
      </c>
      <c r="BQ76" s="6"/>
      <c r="BR76" s="6"/>
      <c r="BS76" s="6"/>
      <c r="BT76" s="6"/>
      <c r="BU76" s="6">
        <v>413</v>
      </c>
      <c r="BV76" s="6">
        <v>1.4999999999999999E-2</v>
      </c>
      <c r="BW76" s="6">
        <v>0.17499999999999999</v>
      </c>
      <c r="BX76" s="6">
        <v>0</v>
      </c>
    </row>
    <row r="77" spans="1:76" x14ac:dyDescent="0.3">
      <c r="A77" s="8" t="s">
        <v>88</v>
      </c>
      <c r="B77" s="12" t="s">
        <v>119</v>
      </c>
      <c r="C77" s="12" t="str">
        <f t="shared" si="1"/>
        <v>941,1960-1965</v>
      </c>
      <c r="D77" s="9">
        <v>5.4</v>
      </c>
      <c r="E77" s="9">
        <v>11.025</v>
      </c>
      <c r="F77" s="9">
        <v>14.6</v>
      </c>
      <c r="G77" s="9">
        <v>9.06</v>
      </c>
      <c r="H77" s="9">
        <v>1.08</v>
      </c>
      <c r="I77" s="9">
        <v>16.2</v>
      </c>
      <c r="J77" s="9">
        <v>0.66800000000000004</v>
      </c>
      <c r="K77" s="9">
        <v>1.0900000000000001</v>
      </c>
      <c r="L77" s="9">
        <v>3.375</v>
      </c>
      <c r="M77" s="9">
        <v>480</v>
      </c>
      <c r="N77" s="9">
        <v>456</v>
      </c>
      <c r="O77" s="9">
        <v>251</v>
      </c>
      <c r="P77" s="9">
        <v>499</v>
      </c>
      <c r="Q77" s="9">
        <v>4</v>
      </c>
      <c r="R77" s="9">
        <v>8</v>
      </c>
      <c r="S77" s="9">
        <v>360</v>
      </c>
      <c r="T77" s="9">
        <v>1656</v>
      </c>
      <c r="U77" s="9">
        <v>12</v>
      </c>
      <c r="V77" s="9">
        <v>14.805</v>
      </c>
      <c r="W77" s="9">
        <v>35.5</v>
      </c>
      <c r="X77" s="9">
        <v>43.335000000000001</v>
      </c>
      <c r="Y77" s="9">
        <v>21.6</v>
      </c>
      <c r="Z77" s="9">
        <v>0.72</v>
      </c>
      <c r="AA77" s="9">
        <v>2.7</v>
      </c>
      <c r="AB77" s="9">
        <v>5.58</v>
      </c>
      <c r="AC77" s="9">
        <v>0.23265</v>
      </c>
      <c r="AD77" s="9">
        <v>1.08</v>
      </c>
      <c r="AE77" s="9">
        <v>0</v>
      </c>
      <c r="AF77" s="9">
        <v>3.1320000000000001E-2</v>
      </c>
      <c r="AG77" s="9">
        <v>2.7855000000000001E-2</v>
      </c>
      <c r="AH77" s="9">
        <v>0</v>
      </c>
      <c r="AI77" s="9">
        <v>0</v>
      </c>
      <c r="AJ77" s="9">
        <v>0</v>
      </c>
      <c r="AK77" s="9">
        <v>0</v>
      </c>
      <c r="AL77" s="9">
        <v>0</v>
      </c>
      <c r="AM77" s="9">
        <v>8.1300000000000001E-3</v>
      </c>
      <c r="AN77" s="9">
        <v>8.1300000000000001E-3</v>
      </c>
      <c r="AO77" s="9">
        <v>0.186</v>
      </c>
      <c r="AP77" s="9">
        <v>0.128</v>
      </c>
      <c r="AQ77" s="9">
        <v>0</v>
      </c>
      <c r="AR77" s="9">
        <v>0</v>
      </c>
      <c r="AS77" s="9">
        <v>1.1000000000000001</v>
      </c>
      <c r="AT77" s="9">
        <v>0</v>
      </c>
      <c r="AU77" s="9">
        <v>1.65</v>
      </c>
      <c r="AV77" s="9">
        <v>3.3</v>
      </c>
      <c r="AW77" s="9">
        <v>3.12</v>
      </c>
      <c r="AX77" s="9">
        <v>14.1</v>
      </c>
      <c r="AY77" s="9">
        <v>0.86</v>
      </c>
      <c r="AZ77" s="9">
        <v>1.1000000000000001</v>
      </c>
      <c r="BA77" s="9">
        <v>2.2999999999999998</v>
      </c>
      <c r="BB77" s="9"/>
      <c r="BC77" s="9">
        <v>1.3</v>
      </c>
      <c r="BD77" s="9"/>
      <c r="BE77" s="9">
        <v>36.9</v>
      </c>
      <c r="BF77" s="9">
        <v>46.3</v>
      </c>
      <c r="BG77" s="9">
        <v>2.5299999999999998</v>
      </c>
      <c r="BH77" s="9">
        <v>0</v>
      </c>
      <c r="BI77" s="9"/>
      <c r="BJ77" s="9"/>
      <c r="BK77" s="9">
        <v>8.4700000000000006</v>
      </c>
      <c r="BL77" s="9">
        <v>19.7</v>
      </c>
      <c r="BM77" s="9">
        <v>3.44</v>
      </c>
      <c r="BN77" s="9">
        <v>0</v>
      </c>
      <c r="BO77" s="9">
        <v>19.2</v>
      </c>
      <c r="BP77" s="9">
        <v>26.5</v>
      </c>
      <c r="BQ77" s="9"/>
      <c r="BR77" s="9"/>
      <c r="BS77" s="9"/>
      <c r="BT77" s="9"/>
      <c r="BU77" s="9">
        <v>438</v>
      </c>
      <c r="BV77" s="9">
        <v>4.3299999999999998E-2</v>
      </c>
      <c r="BW77" s="9">
        <v>0.17499999999999999</v>
      </c>
      <c r="BX77" s="9">
        <v>0</v>
      </c>
    </row>
    <row r="78" spans="1:76" x14ac:dyDescent="0.3">
      <c r="A78" s="5" t="s">
        <v>88</v>
      </c>
      <c r="B78" s="11" t="s">
        <v>120</v>
      </c>
      <c r="C78" s="11" t="str">
        <f t="shared" si="1"/>
        <v>941,1965-1970</v>
      </c>
      <c r="D78" s="6">
        <v>5.4</v>
      </c>
      <c r="E78" s="6">
        <v>11.025</v>
      </c>
      <c r="F78" s="6">
        <v>14.6</v>
      </c>
      <c r="G78" s="6">
        <v>9.06</v>
      </c>
      <c r="H78" s="6">
        <v>1.08</v>
      </c>
      <c r="I78" s="6">
        <v>16.2</v>
      </c>
      <c r="J78" s="6">
        <v>0.66800000000000004</v>
      </c>
      <c r="K78" s="6">
        <v>1.0900000000000001</v>
      </c>
      <c r="L78" s="6">
        <v>3.375</v>
      </c>
      <c r="M78" s="6">
        <v>480</v>
      </c>
      <c r="N78" s="6">
        <v>456</v>
      </c>
      <c r="O78" s="6">
        <v>278</v>
      </c>
      <c r="P78" s="6">
        <v>480</v>
      </c>
      <c r="Q78" s="6">
        <v>4</v>
      </c>
      <c r="R78" s="6">
        <v>8</v>
      </c>
      <c r="S78" s="6">
        <v>331</v>
      </c>
      <c r="T78" s="6">
        <v>1656</v>
      </c>
      <c r="U78" s="6">
        <v>12</v>
      </c>
      <c r="V78" s="6">
        <v>14.805</v>
      </c>
      <c r="W78" s="6">
        <v>30.9</v>
      </c>
      <c r="X78" s="6">
        <v>43.335000000000001</v>
      </c>
      <c r="Y78" s="6">
        <v>21.6</v>
      </c>
      <c r="Z78" s="6">
        <v>0.72</v>
      </c>
      <c r="AA78" s="6">
        <v>2.7</v>
      </c>
      <c r="AB78" s="6">
        <v>5.58</v>
      </c>
      <c r="AC78" s="6">
        <v>0.23265</v>
      </c>
      <c r="AD78" s="6">
        <v>1.08</v>
      </c>
      <c r="AE78" s="6">
        <v>0</v>
      </c>
      <c r="AF78" s="6">
        <v>3.1320000000000001E-2</v>
      </c>
      <c r="AG78" s="6">
        <v>2.7855000000000001E-2</v>
      </c>
      <c r="AH78" s="6">
        <v>0</v>
      </c>
      <c r="AI78" s="6">
        <v>0</v>
      </c>
      <c r="AJ78" s="6">
        <v>0</v>
      </c>
      <c r="AK78" s="6">
        <v>0</v>
      </c>
      <c r="AL78" s="6">
        <v>0</v>
      </c>
      <c r="AM78" s="6">
        <v>2.3900000000000001E-2</v>
      </c>
      <c r="AN78" s="6">
        <v>2.3900000000000001E-2</v>
      </c>
      <c r="AO78" s="6">
        <v>0.27</v>
      </c>
      <c r="AP78" s="6">
        <v>0.185</v>
      </c>
      <c r="AQ78" s="6">
        <v>0</v>
      </c>
      <c r="AR78" s="6">
        <v>0</v>
      </c>
      <c r="AS78" s="6">
        <v>1.1000000000000001</v>
      </c>
      <c r="AT78" s="6">
        <v>0</v>
      </c>
      <c r="AU78" s="6">
        <v>1.65</v>
      </c>
      <c r="AV78" s="6">
        <v>3.3</v>
      </c>
      <c r="AW78" s="6">
        <v>4.67</v>
      </c>
      <c r="AX78" s="6">
        <v>21.2</v>
      </c>
      <c r="AY78" s="6">
        <v>1.29</v>
      </c>
      <c r="AZ78" s="6">
        <v>1.65</v>
      </c>
      <c r="BA78" s="6">
        <v>3.44</v>
      </c>
      <c r="BB78" s="6"/>
      <c r="BC78" s="6">
        <v>1.63</v>
      </c>
      <c r="BD78" s="6"/>
      <c r="BE78" s="6">
        <v>46.1</v>
      </c>
      <c r="BF78" s="6">
        <v>57.8</v>
      </c>
      <c r="BG78" s="6">
        <v>3.17</v>
      </c>
      <c r="BH78" s="6">
        <v>0</v>
      </c>
      <c r="BI78" s="6"/>
      <c r="BJ78" s="6"/>
      <c r="BK78" s="6">
        <v>4.24</v>
      </c>
      <c r="BL78" s="6">
        <v>9.85</v>
      </c>
      <c r="BM78" s="6">
        <v>1.72</v>
      </c>
      <c r="BN78" s="6">
        <v>0</v>
      </c>
      <c r="BO78" s="6">
        <v>21.1</v>
      </c>
      <c r="BP78" s="6">
        <v>29.1</v>
      </c>
      <c r="BQ78" s="6"/>
      <c r="BR78" s="6"/>
      <c r="BS78" s="6"/>
      <c r="BT78" s="6"/>
      <c r="BU78" s="6">
        <v>462</v>
      </c>
      <c r="BV78" s="6">
        <v>7.17E-2</v>
      </c>
      <c r="BW78" s="6">
        <v>0.17499999999999999</v>
      </c>
      <c r="BX78" s="6">
        <v>0</v>
      </c>
    </row>
    <row r="79" spans="1:76" x14ac:dyDescent="0.3">
      <c r="A79" s="8" t="s">
        <v>88</v>
      </c>
      <c r="B79" s="12" t="s">
        <v>121</v>
      </c>
      <c r="C79" s="12" t="str">
        <f t="shared" si="1"/>
        <v>941,1970-1975</v>
      </c>
      <c r="D79" s="9">
        <v>5.4</v>
      </c>
      <c r="E79" s="9">
        <v>11.025</v>
      </c>
      <c r="F79" s="9">
        <v>14.6</v>
      </c>
      <c r="G79" s="9">
        <v>9.06</v>
      </c>
      <c r="H79" s="9">
        <v>1.08</v>
      </c>
      <c r="I79" s="9">
        <v>16.2</v>
      </c>
      <c r="J79" s="9">
        <v>0.66800000000000004</v>
      </c>
      <c r="K79" s="9">
        <v>1.0900000000000001</v>
      </c>
      <c r="L79" s="9">
        <v>3.375</v>
      </c>
      <c r="M79" s="9">
        <v>480</v>
      </c>
      <c r="N79" s="9">
        <v>240</v>
      </c>
      <c r="O79" s="9">
        <v>360</v>
      </c>
      <c r="P79" s="9">
        <v>470</v>
      </c>
      <c r="Q79" s="9">
        <v>4</v>
      </c>
      <c r="R79" s="9">
        <v>8</v>
      </c>
      <c r="S79" s="9">
        <v>288</v>
      </c>
      <c r="T79" s="9">
        <v>1656</v>
      </c>
      <c r="U79" s="9">
        <v>12</v>
      </c>
      <c r="V79" s="9">
        <v>14.805</v>
      </c>
      <c r="W79" s="9">
        <v>26.4</v>
      </c>
      <c r="X79" s="9">
        <v>43.335000000000001</v>
      </c>
      <c r="Y79" s="9">
        <v>21.6</v>
      </c>
      <c r="Z79" s="9">
        <v>0.72</v>
      </c>
      <c r="AA79" s="9">
        <v>2.7</v>
      </c>
      <c r="AB79" s="9">
        <v>5.58</v>
      </c>
      <c r="AC79" s="9">
        <v>0.23265</v>
      </c>
      <c r="AD79" s="9">
        <v>1.08</v>
      </c>
      <c r="AE79" s="9">
        <v>0</v>
      </c>
      <c r="AF79" s="9">
        <v>3.1320000000000001E-2</v>
      </c>
      <c r="AG79" s="9">
        <v>2.7855000000000001E-2</v>
      </c>
      <c r="AH79" s="9">
        <v>0</v>
      </c>
      <c r="AI79" s="9">
        <v>0</v>
      </c>
      <c r="AJ79" s="9">
        <v>0</v>
      </c>
      <c r="AK79" s="9">
        <v>0</v>
      </c>
      <c r="AL79" s="9">
        <v>0</v>
      </c>
      <c r="AM79" s="9">
        <v>3.9600000000000003E-2</v>
      </c>
      <c r="AN79" s="9">
        <v>3.9600000000000003E-2</v>
      </c>
      <c r="AO79" s="9">
        <v>0.35399999999999998</v>
      </c>
      <c r="AP79" s="9">
        <v>0.24299999999999999</v>
      </c>
      <c r="AQ79" s="9">
        <v>0</v>
      </c>
      <c r="AR79" s="9">
        <v>0</v>
      </c>
      <c r="AS79" s="9">
        <v>1.1000000000000001</v>
      </c>
      <c r="AT79" s="9">
        <v>0</v>
      </c>
      <c r="AU79" s="9">
        <v>1.65</v>
      </c>
      <c r="AV79" s="9">
        <v>3.3</v>
      </c>
      <c r="AW79" s="9">
        <v>6.23</v>
      </c>
      <c r="AX79" s="9">
        <v>28.2</v>
      </c>
      <c r="AY79" s="9">
        <v>1.72</v>
      </c>
      <c r="AZ79" s="9">
        <v>2.2000000000000002</v>
      </c>
      <c r="BA79" s="9">
        <v>4.59</v>
      </c>
      <c r="BB79" s="9">
        <v>0</v>
      </c>
      <c r="BC79" s="9">
        <v>1.95</v>
      </c>
      <c r="BD79" s="9">
        <v>0</v>
      </c>
      <c r="BE79" s="9">
        <v>55.3</v>
      </c>
      <c r="BF79" s="9">
        <v>69.400000000000006</v>
      </c>
      <c r="BG79" s="9">
        <v>3.8</v>
      </c>
      <c r="BH79" s="9">
        <v>0</v>
      </c>
      <c r="BI79" s="9">
        <v>0</v>
      </c>
      <c r="BJ79" s="9">
        <v>0</v>
      </c>
      <c r="BK79" s="9">
        <v>0.84699999999999998</v>
      </c>
      <c r="BL79" s="9">
        <v>1.97</v>
      </c>
      <c r="BM79" s="9">
        <v>0.34399999999999997</v>
      </c>
      <c r="BN79" s="9">
        <v>0</v>
      </c>
      <c r="BO79" s="9">
        <v>27.6</v>
      </c>
      <c r="BP79" s="9">
        <v>38.1</v>
      </c>
      <c r="BQ79" s="9">
        <v>0</v>
      </c>
      <c r="BR79" s="9">
        <v>0</v>
      </c>
      <c r="BS79" s="9">
        <v>0</v>
      </c>
      <c r="BT79" s="9">
        <v>0</v>
      </c>
      <c r="BU79" s="9">
        <v>486</v>
      </c>
      <c r="BV79" s="9">
        <v>0.1</v>
      </c>
      <c r="BW79" s="9">
        <v>0.17499999999999999</v>
      </c>
      <c r="BX79" s="9">
        <v>0</v>
      </c>
    </row>
    <row r="80" spans="1:76" x14ac:dyDescent="0.3">
      <c r="A80" s="5" t="s">
        <v>88</v>
      </c>
      <c r="B80" s="11" t="s">
        <v>122</v>
      </c>
      <c r="C80" s="11" t="str">
        <f t="shared" si="1"/>
        <v>941,1975-1980</v>
      </c>
      <c r="D80" s="6">
        <v>5.25</v>
      </c>
      <c r="E80" s="6">
        <v>11.025</v>
      </c>
      <c r="F80" s="6">
        <v>17.600000000000001</v>
      </c>
      <c r="G80" s="6">
        <v>6.98</v>
      </c>
      <c r="H80" s="6">
        <v>0.13800000000000001</v>
      </c>
      <c r="I80" s="6">
        <v>18.7</v>
      </c>
      <c r="J80" s="6">
        <v>0.66800000000000004</v>
      </c>
      <c r="K80" s="6">
        <v>1.0900000000000001</v>
      </c>
      <c r="L80" s="6">
        <v>3.375</v>
      </c>
      <c r="M80" s="6">
        <v>480</v>
      </c>
      <c r="N80" s="6">
        <v>192</v>
      </c>
      <c r="O80" s="6">
        <v>360</v>
      </c>
      <c r="P80" s="6">
        <v>432</v>
      </c>
      <c r="Q80" s="6">
        <v>5</v>
      </c>
      <c r="R80" s="6">
        <v>9</v>
      </c>
      <c r="S80" s="6">
        <v>288</v>
      </c>
      <c r="T80" s="6">
        <v>1656</v>
      </c>
      <c r="U80" s="6">
        <v>12</v>
      </c>
      <c r="V80" s="6">
        <v>14.805</v>
      </c>
      <c r="W80" s="6">
        <v>26.4</v>
      </c>
      <c r="X80" s="6">
        <v>43.335000000000001</v>
      </c>
      <c r="Y80" s="6">
        <v>21.6</v>
      </c>
      <c r="Z80" s="6">
        <v>0.72</v>
      </c>
      <c r="AA80" s="6">
        <v>2.7</v>
      </c>
      <c r="AB80" s="6">
        <v>5.58</v>
      </c>
      <c r="AC80" s="6">
        <v>0.23265</v>
      </c>
      <c r="AD80" s="6">
        <v>1.08</v>
      </c>
      <c r="AE80" s="6">
        <v>0</v>
      </c>
      <c r="AF80" s="6">
        <v>3.1320000000000001E-2</v>
      </c>
      <c r="AG80" s="6">
        <v>2.7855000000000001E-2</v>
      </c>
      <c r="AH80" s="6">
        <v>0</v>
      </c>
      <c r="AI80" s="6">
        <v>0</v>
      </c>
      <c r="AJ80" s="6">
        <v>0</v>
      </c>
      <c r="AK80" s="6">
        <v>0</v>
      </c>
      <c r="AL80" s="6">
        <v>0</v>
      </c>
      <c r="AM80" s="6">
        <v>5.5399999999999998E-2</v>
      </c>
      <c r="AN80" s="6">
        <v>5.5399999999999998E-2</v>
      </c>
      <c r="AO80" s="6">
        <v>0.438</v>
      </c>
      <c r="AP80" s="6">
        <v>0.3</v>
      </c>
      <c r="AQ80" s="6">
        <v>0</v>
      </c>
      <c r="AR80" s="6">
        <v>0</v>
      </c>
      <c r="AS80" s="6">
        <v>1.1000000000000001</v>
      </c>
      <c r="AT80" s="6">
        <v>0</v>
      </c>
      <c r="AU80" s="6">
        <v>1.65</v>
      </c>
      <c r="AV80" s="6">
        <v>3.3</v>
      </c>
      <c r="AW80" s="6">
        <v>7.34</v>
      </c>
      <c r="AX80" s="6">
        <v>34.799999999999997</v>
      </c>
      <c r="AY80" s="6">
        <v>2.04</v>
      </c>
      <c r="AZ80" s="6">
        <v>2.57</v>
      </c>
      <c r="BA80" s="6">
        <v>0.312</v>
      </c>
      <c r="BB80" s="6">
        <v>0</v>
      </c>
      <c r="BC80" s="6">
        <v>2.29</v>
      </c>
      <c r="BD80" s="6">
        <v>0</v>
      </c>
      <c r="BE80" s="6">
        <v>65.599999999999994</v>
      </c>
      <c r="BF80" s="6">
        <v>80.8</v>
      </c>
      <c r="BG80" s="6">
        <v>0.34300000000000003</v>
      </c>
      <c r="BH80" s="6">
        <v>0</v>
      </c>
      <c r="BI80" s="6">
        <v>0</v>
      </c>
      <c r="BJ80" s="6">
        <v>0</v>
      </c>
      <c r="BK80" s="6">
        <v>2.2799999999999998</v>
      </c>
      <c r="BL80" s="6">
        <v>3.89</v>
      </c>
      <c r="BM80" s="6">
        <v>7.0000000000000007E-2</v>
      </c>
      <c r="BN80" s="6">
        <v>0</v>
      </c>
      <c r="BO80" s="6">
        <v>41.1</v>
      </c>
      <c r="BP80" s="6">
        <v>47.1</v>
      </c>
      <c r="BQ80" s="6">
        <v>0</v>
      </c>
      <c r="BR80" s="6">
        <v>0</v>
      </c>
      <c r="BS80" s="6">
        <v>0</v>
      </c>
      <c r="BT80" s="6">
        <v>0</v>
      </c>
      <c r="BU80" s="6">
        <v>510</v>
      </c>
      <c r="BV80" s="6">
        <v>0.128</v>
      </c>
      <c r="BW80" s="6">
        <v>0.17499999999999999</v>
      </c>
      <c r="BX80" s="6">
        <v>0</v>
      </c>
    </row>
    <row r="81" spans="1:76" x14ac:dyDescent="0.3">
      <c r="A81" s="8" t="s">
        <v>88</v>
      </c>
      <c r="B81" s="12" t="s">
        <v>123</v>
      </c>
      <c r="C81" s="12" t="str">
        <f t="shared" si="1"/>
        <v>941,1980-1985</v>
      </c>
      <c r="D81" s="9">
        <v>4.8600000000000003</v>
      </c>
      <c r="E81" s="9">
        <v>11.025</v>
      </c>
      <c r="F81" s="9">
        <v>21.4</v>
      </c>
      <c r="G81" s="9">
        <v>12.56</v>
      </c>
      <c r="H81" s="9">
        <v>0.36899999999999999</v>
      </c>
      <c r="I81" s="9">
        <v>22.7</v>
      </c>
      <c r="J81" s="9">
        <v>0.66800000000000004</v>
      </c>
      <c r="K81" s="9">
        <v>1.0900000000000001</v>
      </c>
      <c r="L81" s="9">
        <v>3.375</v>
      </c>
      <c r="M81" s="9">
        <v>480</v>
      </c>
      <c r="N81" s="9">
        <v>192</v>
      </c>
      <c r="O81" s="9">
        <v>360</v>
      </c>
      <c r="P81" s="9">
        <v>432</v>
      </c>
      <c r="Q81" s="9">
        <v>5</v>
      </c>
      <c r="R81" s="9">
        <v>9</v>
      </c>
      <c r="S81" s="9">
        <v>288</v>
      </c>
      <c r="T81" s="9">
        <v>1656</v>
      </c>
      <c r="U81" s="9">
        <v>12</v>
      </c>
      <c r="V81" s="9">
        <v>14.805</v>
      </c>
      <c r="W81" s="9">
        <v>26.4</v>
      </c>
      <c r="X81" s="9">
        <v>43.335000000000001</v>
      </c>
      <c r="Y81" s="9">
        <v>21.6</v>
      </c>
      <c r="Z81" s="9">
        <v>0.72</v>
      </c>
      <c r="AA81" s="9">
        <v>2.7</v>
      </c>
      <c r="AB81" s="9">
        <v>5.58</v>
      </c>
      <c r="AC81" s="9">
        <v>0.23265</v>
      </c>
      <c r="AD81" s="9">
        <v>1.08</v>
      </c>
      <c r="AE81" s="9">
        <v>0</v>
      </c>
      <c r="AF81" s="9">
        <v>3.1320000000000001E-2</v>
      </c>
      <c r="AG81" s="9">
        <v>2.7855000000000001E-2</v>
      </c>
      <c r="AH81" s="9">
        <v>0</v>
      </c>
      <c r="AI81" s="9">
        <v>0</v>
      </c>
      <c r="AJ81" s="9">
        <v>0</v>
      </c>
      <c r="AK81" s="9">
        <v>0</v>
      </c>
      <c r="AL81" s="9">
        <v>0</v>
      </c>
      <c r="AM81" s="9">
        <v>7.1099999999999997E-2</v>
      </c>
      <c r="AN81" s="9">
        <v>7.1099999999999997E-2</v>
      </c>
      <c r="AO81" s="9">
        <v>0.52200000000000002</v>
      </c>
      <c r="AP81" s="9">
        <v>0.35799999999999998</v>
      </c>
      <c r="AQ81" s="9">
        <v>0</v>
      </c>
      <c r="AR81" s="9">
        <v>0</v>
      </c>
      <c r="AS81" s="9">
        <v>1.65</v>
      </c>
      <c r="AT81" s="9">
        <v>0</v>
      </c>
      <c r="AU81" s="9">
        <v>1.65</v>
      </c>
      <c r="AV81" s="9">
        <v>6.6</v>
      </c>
      <c r="AW81" s="9">
        <v>8.27</v>
      </c>
      <c r="AX81" s="9">
        <v>37.9</v>
      </c>
      <c r="AY81" s="9">
        <v>2.13</v>
      </c>
      <c r="AZ81" s="9">
        <v>2.91</v>
      </c>
      <c r="BA81" s="9">
        <v>1.41</v>
      </c>
      <c r="BB81" s="9">
        <v>0</v>
      </c>
      <c r="BC81" s="9">
        <v>2.58</v>
      </c>
      <c r="BD81" s="9">
        <v>0</v>
      </c>
      <c r="BE81" s="9">
        <v>68.5</v>
      </c>
      <c r="BF81" s="9">
        <v>91.6</v>
      </c>
      <c r="BG81" s="9">
        <v>1.37</v>
      </c>
      <c r="BH81" s="9">
        <v>0</v>
      </c>
      <c r="BI81" s="9">
        <v>0</v>
      </c>
      <c r="BJ81" s="9">
        <v>0</v>
      </c>
      <c r="BK81" s="9">
        <v>3.32</v>
      </c>
      <c r="BL81" s="9">
        <v>5.68</v>
      </c>
      <c r="BM81" s="9">
        <v>0.38900000000000001</v>
      </c>
      <c r="BN81" s="9">
        <v>0</v>
      </c>
      <c r="BO81" s="9">
        <v>53.2</v>
      </c>
      <c r="BP81" s="9">
        <v>51.2</v>
      </c>
      <c r="BQ81" s="9">
        <v>0</v>
      </c>
      <c r="BR81" s="9">
        <v>0</v>
      </c>
      <c r="BS81" s="9">
        <v>0</v>
      </c>
      <c r="BT81" s="9">
        <v>0</v>
      </c>
      <c r="BU81" s="9">
        <v>510</v>
      </c>
      <c r="BV81" s="9">
        <v>0.157</v>
      </c>
      <c r="BW81" s="9">
        <v>0.17499999999999999</v>
      </c>
      <c r="BX81" s="9">
        <v>0</v>
      </c>
    </row>
    <row r="82" spans="1:76" x14ac:dyDescent="0.3">
      <c r="A82" s="5" t="s">
        <v>88</v>
      </c>
      <c r="B82" s="11" t="s">
        <v>124</v>
      </c>
      <c r="C82" s="11" t="str">
        <f t="shared" si="1"/>
        <v>941,1985-1990</v>
      </c>
      <c r="D82" s="6">
        <v>3.76</v>
      </c>
      <c r="E82" s="6">
        <v>6.93</v>
      </c>
      <c r="F82" s="6">
        <v>17.7</v>
      </c>
      <c r="G82" s="6">
        <v>11.540001</v>
      </c>
      <c r="H82" s="6">
        <v>1.65</v>
      </c>
      <c r="I82" s="6">
        <v>20</v>
      </c>
      <c r="J82" s="6">
        <v>0.66800000000000004</v>
      </c>
      <c r="K82" s="6">
        <v>1.0900000000000001</v>
      </c>
      <c r="L82" s="6">
        <v>3.375</v>
      </c>
      <c r="M82" s="6">
        <v>480</v>
      </c>
      <c r="N82" s="6">
        <v>192</v>
      </c>
      <c r="O82" s="6">
        <v>360</v>
      </c>
      <c r="P82" s="6">
        <v>432</v>
      </c>
      <c r="Q82" s="6">
        <v>5</v>
      </c>
      <c r="R82" s="6">
        <v>9</v>
      </c>
      <c r="S82" s="6">
        <v>288</v>
      </c>
      <c r="T82" s="6">
        <v>1656</v>
      </c>
      <c r="U82" s="6">
        <v>12</v>
      </c>
      <c r="V82" s="6">
        <v>14.805</v>
      </c>
      <c r="W82" s="6">
        <v>26.4</v>
      </c>
      <c r="X82" s="6">
        <v>43.335000000000001</v>
      </c>
      <c r="Y82" s="6">
        <v>21.6</v>
      </c>
      <c r="Z82" s="6">
        <v>0.72</v>
      </c>
      <c r="AA82" s="6">
        <v>2.7</v>
      </c>
      <c r="AB82" s="6">
        <v>5.58</v>
      </c>
      <c r="AC82" s="6">
        <v>0.23265</v>
      </c>
      <c r="AD82" s="6">
        <v>1.08</v>
      </c>
      <c r="AE82" s="6">
        <v>0</v>
      </c>
      <c r="AF82" s="6">
        <v>3.1320000000000001E-2</v>
      </c>
      <c r="AG82" s="6">
        <v>2.7855000000000001E-2</v>
      </c>
      <c r="AH82" s="6">
        <v>0</v>
      </c>
      <c r="AI82" s="6">
        <v>0</v>
      </c>
      <c r="AJ82" s="6">
        <v>0</v>
      </c>
      <c r="AK82" s="6">
        <v>0</v>
      </c>
      <c r="AL82" s="6">
        <v>0</v>
      </c>
      <c r="AM82" s="6">
        <v>8.6900000000000005E-2</v>
      </c>
      <c r="AN82" s="6">
        <v>8.6900000000000005E-2</v>
      </c>
      <c r="AO82" s="6">
        <v>0.60599999999999998</v>
      </c>
      <c r="AP82" s="6">
        <v>0.41599999999999998</v>
      </c>
      <c r="AQ82" s="6">
        <v>0</v>
      </c>
      <c r="AR82" s="6">
        <v>0</v>
      </c>
      <c r="AS82" s="6">
        <v>1.65</v>
      </c>
      <c r="AT82" s="6">
        <v>0</v>
      </c>
      <c r="AU82" s="6">
        <v>1.65</v>
      </c>
      <c r="AV82" s="6">
        <v>6.6</v>
      </c>
      <c r="AW82" s="6">
        <v>7.33</v>
      </c>
      <c r="AX82" s="6">
        <v>33.799999999999997</v>
      </c>
      <c r="AY82" s="6">
        <v>1.74</v>
      </c>
      <c r="AZ82" s="6">
        <v>2.57</v>
      </c>
      <c r="BA82" s="6">
        <v>2.71</v>
      </c>
      <c r="BB82" s="6">
        <v>0</v>
      </c>
      <c r="BC82" s="6">
        <v>2.29</v>
      </c>
      <c r="BD82" s="6">
        <v>0</v>
      </c>
      <c r="BE82" s="6">
        <v>55.8</v>
      </c>
      <c r="BF82" s="6">
        <v>80.900000000000006</v>
      </c>
      <c r="BG82" s="6">
        <v>2.64</v>
      </c>
      <c r="BH82" s="6">
        <v>0</v>
      </c>
      <c r="BI82" s="6">
        <v>0</v>
      </c>
      <c r="BJ82" s="6">
        <v>0</v>
      </c>
      <c r="BK82" s="6">
        <v>3.26</v>
      </c>
      <c r="BL82" s="6">
        <v>5.84</v>
      </c>
      <c r="BM82" s="6">
        <v>0.90800000000000003</v>
      </c>
      <c r="BN82" s="6">
        <v>0</v>
      </c>
      <c r="BO82" s="6">
        <v>51.6</v>
      </c>
      <c r="BP82" s="6">
        <v>45.7</v>
      </c>
      <c r="BQ82" s="6">
        <v>0</v>
      </c>
      <c r="BR82" s="6">
        <v>0</v>
      </c>
      <c r="BS82" s="6">
        <v>0</v>
      </c>
      <c r="BT82" s="6">
        <v>0</v>
      </c>
      <c r="BU82" s="6">
        <v>510</v>
      </c>
      <c r="BV82" s="6">
        <v>0.185</v>
      </c>
      <c r="BW82" s="6">
        <v>0.17499999999999999</v>
      </c>
      <c r="BX82" s="6">
        <v>0</v>
      </c>
    </row>
    <row r="83" spans="1:76" x14ac:dyDescent="0.3">
      <c r="A83" s="8" t="s">
        <v>88</v>
      </c>
      <c r="B83" s="12" t="s">
        <v>125</v>
      </c>
      <c r="C83" s="12" t="str">
        <f t="shared" si="1"/>
        <v>941,1990-1995</v>
      </c>
      <c r="D83" s="9">
        <v>2.54</v>
      </c>
      <c r="E83" s="9">
        <v>6.93</v>
      </c>
      <c r="F83" s="9">
        <v>7.3</v>
      </c>
      <c r="G83" s="9">
        <v>4.78</v>
      </c>
      <c r="H83" s="9">
        <v>0.79700000000000004</v>
      </c>
      <c r="I83" s="9">
        <v>8.68</v>
      </c>
      <c r="J83" s="9">
        <v>0.66800000000000004</v>
      </c>
      <c r="K83" s="9">
        <v>1.0900000000000001</v>
      </c>
      <c r="L83" s="9">
        <v>3.375</v>
      </c>
      <c r="M83" s="9">
        <v>480</v>
      </c>
      <c r="N83" s="9">
        <v>192</v>
      </c>
      <c r="O83" s="9">
        <v>336</v>
      </c>
      <c r="P83" s="9">
        <v>432</v>
      </c>
      <c r="Q83" s="9">
        <v>5</v>
      </c>
      <c r="R83" s="9">
        <v>9</v>
      </c>
      <c r="S83" s="9">
        <v>278</v>
      </c>
      <c r="T83" s="9">
        <v>1656</v>
      </c>
      <c r="U83" s="9">
        <v>12</v>
      </c>
      <c r="V83" s="9">
        <v>14.805</v>
      </c>
      <c r="W83" s="9">
        <v>26.4</v>
      </c>
      <c r="X83" s="9">
        <v>43.335000000000001</v>
      </c>
      <c r="Y83" s="9">
        <v>21.6</v>
      </c>
      <c r="Z83" s="9">
        <v>0.72</v>
      </c>
      <c r="AA83" s="9">
        <v>2.7</v>
      </c>
      <c r="AB83" s="9">
        <v>5.58</v>
      </c>
      <c r="AC83" s="9">
        <v>0.23265</v>
      </c>
      <c r="AD83" s="9">
        <v>1.08</v>
      </c>
      <c r="AE83" s="9">
        <v>0</v>
      </c>
      <c r="AF83" s="9">
        <v>3.1320000000000001E-2</v>
      </c>
      <c r="AG83" s="9">
        <v>2.7855000000000001E-2</v>
      </c>
      <c r="AH83" s="9">
        <v>0</v>
      </c>
      <c r="AI83" s="9">
        <v>0</v>
      </c>
      <c r="AJ83" s="9">
        <v>0</v>
      </c>
      <c r="AK83" s="9">
        <v>0</v>
      </c>
      <c r="AL83" s="9">
        <v>0</v>
      </c>
      <c r="AM83" s="9">
        <v>0.10299999999999999</v>
      </c>
      <c r="AN83" s="9">
        <v>0.10299999999999999</v>
      </c>
      <c r="AO83" s="9">
        <v>0.69</v>
      </c>
      <c r="AP83" s="9">
        <v>0.47299999999999998</v>
      </c>
      <c r="AQ83" s="9">
        <v>0</v>
      </c>
      <c r="AR83" s="9">
        <v>0</v>
      </c>
      <c r="AS83" s="9">
        <v>2.2000000000000002</v>
      </c>
      <c r="AT83" s="9">
        <v>0.9</v>
      </c>
      <c r="AU83" s="9">
        <v>2.2000000000000002</v>
      </c>
      <c r="AV83" s="9">
        <v>6.6</v>
      </c>
      <c r="AW83" s="9">
        <v>2.83</v>
      </c>
      <c r="AX83" s="9">
        <v>12.4</v>
      </c>
      <c r="AY83" s="9">
        <v>0.66</v>
      </c>
      <c r="AZ83" s="9">
        <v>1.01</v>
      </c>
      <c r="BA83" s="9">
        <v>1.56</v>
      </c>
      <c r="BB83" s="9">
        <v>0</v>
      </c>
      <c r="BC83" s="9">
        <v>0.88</v>
      </c>
      <c r="BD83" s="9">
        <v>0</v>
      </c>
      <c r="BE83" s="9">
        <v>21.1</v>
      </c>
      <c r="BF83" s="9">
        <v>31.6</v>
      </c>
      <c r="BG83" s="9">
        <v>1.46</v>
      </c>
      <c r="BH83" s="9">
        <v>0</v>
      </c>
      <c r="BI83" s="9">
        <v>0</v>
      </c>
      <c r="BJ83" s="9">
        <v>0</v>
      </c>
      <c r="BK83" s="9">
        <v>1.47</v>
      </c>
      <c r="BL83" s="9">
        <v>2.44</v>
      </c>
      <c r="BM83" s="9">
        <v>0.55500000000000005</v>
      </c>
      <c r="BN83" s="9">
        <v>0</v>
      </c>
      <c r="BO83" s="9">
        <v>22</v>
      </c>
      <c r="BP83" s="9">
        <v>16.899999999999999</v>
      </c>
      <c r="BQ83" s="9">
        <v>0</v>
      </c>
      <c r="BR83" s="9">
        <v>0</v>
      </c>
      <c r="BS83" s="9">
        <v>0</v>
      </c>
      <c r="BT83" s="9">
        <v>0</v>
      </c>
      <c r="BU83" s="9">
        <v>510</v>
      </c>
      <c r="BV83" s="9">
        <v>0.185</v>
      </c>
      <c r="BW83" s="9">
        <v>8.7499999999999994E-2</v>
      </c>
      <c r="BX83" s="9">
        <v>0</v>
      </c>
    </row>
    <row r="84" spans="1:76" x14ac:dyDescent="0.3">
      <c r="A84" s="5" t="s">
        <v>88</v>
      </c>
      <c r="B84" s="11" t="s">
        <v>126</v>
      </c>
      <c r="C84" s="11" t="str">
        <f t="shared" si="1"/>
        <v>941,1995-2000</v>
      </c>
      <c r="D84" s="6">
        <v>1.73</v>
      </c>
      <c r="E84" s="6">
        <v>6.93</v>
      </c>
      <c r="F84" s="6">
        <v>8.4</v>
      </c>
      <c r="G84" s="6">
        <v>4.92</v>
      </c>
      <c r="H84" s="6">
        <v>1</v>
      </c>
      <c r="I84" s="6">
        <v>9.1199999999999992</v>
      </c>
      <c r="J84" s="6">
        <v>0.70699999999999996</v>
      </c>
      <c r="K84" s="6">
        <v>0.878</v>
      </c>
      <c r="L84" s="6">
        <v>3.375</v>
      </c>
      <c r="M84" s="6">
        <v>480</v>
      </c>
      <c r="N84" s="6">
        <v>192</v>
      </c>
      <c r="O84" s="6">
        <v>336</v>
      </c>
      <c r="P84" s="6">
        <v>480</v>
      </c>
      <c r="Q84" s="6">
        <v>5</v>
      </c>
      <c r="R84" s="6">
        <v>9</v>
      </c>
      <c r="S84" s="6">
        <v>264</v>
      </c>
      <c r="T84" s="6">
        <v>1656</v>
      </c>
      <c r="U84" s="6">
        <v>12</v>
      </c>
      <c r="V84" s="6">
        <v>14.805</v>
      </c>
      <c r="W84" s="6">
        <v>26.4</v>
      </c>
      <c r="X84" s="6">
        <v>43.335000000000001</v>
      </c>
      <c r="Y84" s="6">
        <v>21.6</v>
      </c>
      <c r="Z84" s="6">
        <v>0.72</v>
      </c>
      <c r="AA84" s="6">
        <v>2.7</v>
      </c>
      <c r="AB84" s="6">
        <v>5.58</v>
      </c>
      <c r="AC84" s="6">
        <v>0.23265</v>
      </c>
      <c r="AD84" s="6">
        <v>1.08</v>
      </c>
      <c r="AE84" s="6">
        <v>0</v>
      </c>
      <c r="AF84" s="6">
        <v>3.1320000000000001E-2</v>
      </c>
      <c r="AG84" s="6">
        <v>2.7855000000000001E-2</v>
      </c>
      <c r="AH84" s="6">
        <v>0</v>
      </c>
      <c r="AI84" s="6">
        <v>0</v>
      </c>
      <c r="AJ84" s="6">
        <v>0</v>
      </c>
      <c r="AK84" s="6">
        <v>0</v>
      </c>
      <c r="AL84" s="6">
        <v>0</v>
      </c>
      <c r="AM84" s="6">
        <v>0.11799999999999999</v>
      </c>
      <c r="AN84" s="6">
        <v>0.11799999999999999</v>
      </c>
      <c r="AO84" s="6">
        <v>0.77400000000000002</v>
      </c>
      <c r="AP84" s="6">
        <v>0.53100000000000003</v>
      </c>
      <c r="AQ84" s="6">
        <v>0</v>
      </c>
      <c r="AR84" s="6">
        <v>0</v>
      </c>
      <c r="AS84" s="6">
        <v>2.2000000000000002</v>
      </c>
      <c r="AT84" s="6">
        <v>0.9</v>
      </c>
      <c r="AU84" s="6">
        <v>2.2000000000000002</v>
      </c>
      <c r="AV84" s="6">
        <v>6.6</v>
      </c>
      <c r="AW84" s="6">
        <v>3.12</v>
      </c>
      <c r="AX84" s="6">
        <v>13.2</v>
      </c>
      <c r="AY84" s="6">
        <v>0.78600000000000003</v>
      </c>
      <c r="AZ84" s="6">
        <v>1.1599999999999999</v>
      </c>
      <c r="BA84" s="6">
        <v>2.13</v>
      </c>
      <c r="BB84" s="6">
        <v>0</v>
      </c>
      <c r="BC84" s="6">
        <v>0.91600000000000004</v>
      </c>
      <c r="BD84" s="6">
        <v>0</v>
      </c>
      <c r="BE84" s="6">
        <v>23.4</v>
      </c>
      <c r="BF84" s="6">
        <v>35.200000000000003</v>
      </c>
      <c r="BG84" s="6">
        <v>1.88</v>
      </c>
      <c r="BH84" s="6">
        <v>0</v>
      </c>
      <c r="BI84" s="6">
        <v>0</v>
      </c>
      <c r="BJ84" s="6">
        <v>0</v>
      </c>
      <c r="BK84" s="6">
        <v>2.04</v>
      </c>
      <c r="BL84" s="6">
        <v>2.85</v>
      </c>
      <c r="BM84" s="6">
        <v>0.81899999999999995</v>
      </c>
      <c r="BN84" s="6">
        <v>0</v>
      </c>
      <c r="BO84" s="6">
        <v>27.2</v>
      </c>
      <c r="BP84" s="6">
        <v>18.600000000000001</v>
      </c>
      <c r="BQ84" s="6">
        <v>0</v>
      </c>
      <c r="BR84" s="6">
        <v>0</v>
      </c>
      <c r="BS84" s="6">
        <v>0</v>
      </c>
      <c r="BT84" s="6">
        <v>0</v>
      </c>
      <c r="BU84" s="6">
        <v>510</v>
      </c>
      <c r="BV84" s="6">
        <v>0.185</v>
      </c>
      <c r="BW84" s="6">
        <v>8.7499999999999994E-2</v>
      </c>
      <c r="BX84" s="6">
        <v>0</v>
      </c>
    </row>
    <row r="85" spans="1:76" x14ac:dyDescent="0.3">
      <c r="A85" s="8" t="s">
        <v>88</v>
      </c>
      <c r="B85" s="12" t="s">
        <v>127</v>
      </c>
      <c r="C85" s="12" t="str">
        <f t="shared" si="1"/>
        <v>941,2000-2005</v>
      </c>
      <c r="D85" s="9">
        <v>1.64</v>
      </c>
      <c r="E85" s="9">
        <v>6.93</v>
      </c>
      <c r="F85" s="9">
        <v>8.94</v>
      </c>
      <c r="G85" s="9">
        <v>5.32</v>
      </c>
      <c r="H85" s="9">
        <v>0.88600000000000001</v>
      </c>
      <c r="I85" s="9">
        <v>9.3800000000000008</v>
      </c>
      <c r="J85" s="9">
        <v>0.70099999999999996</v>
      </c>
      <c r="K85" s="9">
        <v>1.05</v>
      </c>
      <c r="L85" s="9">
        <v>3.375</v>
      </c>
      <c r="M85" s="9">
        <v>480</v>
      </c>
      <c r="N85" s="9">
        <v>168</v>
      </c>
      <c r="O85" s="9">
        <v>336</v>
      </c>
      <c r="P85" s="9">
        <v>480</v>
      </c>
      <c r="Q85" s="9">
        <v>5</v>
      </c>
      <c r="R85" s="9">
        <v>10</v>
      </c>
      <c r="S85" s="9">
        <v>264</v>
      </c>
      <c r="T85" s="9">
        <v>1368</v>
      </c>
      <c r="U85" s="9">
        <v>12</v>
      </c>
      <c r="V85" s="9">
        <v>14.805</v>
      </c>
      <c r="W85" s="9">
        <v>26.4</v>
      </c>
      <c r="X85" s="9">
        <v>43.335000000000001</v>
      </c>
      <c r="Y85" s="9">
        <v>21.6</v>
      </c>
      <c r="Z85" s="9">
        <v>0.72</v>
      </c>
      <c r="AA85" s="9">
        <v>2.7</v>
      </c>
      <c r="AB85" s="9">
        <v>5.58</v>
      </c>
      <c r="AC85" s="9">
        <v>0.23265</v>
      </c>
      <c r="AD85" s="9">
        <v>1.08</v>
      </c>
      <c r="AE85" s="9">
        <v>0</v>
      </c>
      <c r="AF85" s="9">
        <v>3.1320000000000001E-2</v>
      </c>
      <c r="AG85" s="9">
        <v>2.7855000000000001E-2</v>
      </c>
      <c r="AH85" s="9">
        <v>0</v>
      </c>
      <c r="AI85" s="9">
        <v>0</v>
      </c>
      <c r="AJ85" s="9">
        <v>0</v>
      </c>
      <c r="AK85" s="9">
        <v>0</v>
      </c>
      <c r="AL85" s="9">
        <v>0</v>
      </c>
      <c r="AM85" s="9">
        <v>0.13400000000000001</v>
      </c>
      <c r="AN85" s="9">
        <v>0.13400000000000001</v>
      </c>
      <c r="AO85" s="9">
        <v>0.85799999999999998</v>
      </c>
      <c r="AP85" s="9">
        <v>0.58799999999999997</v>
      </c>
      <c r="AQ85" s="9">
        <v>0</v>
      </c>
      <c r="AR85" s="9">
        <v>0</v>
      </c>
      <c r="AS85" s="9">
        <v>2.2000000000000002</v>
      </c>
      <c r="AT85" s="9">
        <v>0.9</v>
      </c>
      <c r="AU85" s="9">
        <v>2.2000000000000002</v>
      </c>
      <c r="AV85" s="9">
        <v>6.6</v>
      </c>
      <c r="AW85" s="9">
        <v>3.36</v>
      </c>
      <c r="AX85" s="9">
        <v>14.300001</v>
      </c>
      <c r="AY85" s="9">
        <v>0.874</v>
      </c>
      <c r="AZ85" s="9">
        <v>1.33</v>
      </c>
      <c r="BA85" s="9">
        <v>1.28</v>
      </c>
      <c r="BB85" s="9">
        <v>0</v>
      </c>
      <c r="BC85" s="9">
        <v>0.96399999999999997</v>
      </c>
      <c r="BD85" s="9">
        <v>0</v>
      </c>
      <c r="BE85" s="9">
        <v>24.7</v>
      </c>
      <c r="BF85" s="9">
        <v>40.299999999999997</v>
      </c>
      <c r="BG85" s="9">
        <v>1.45</v>
      </c>
      <c r="BH85" s="9">
        <v>0</v>
      </c>
      <c r="BI85" s="9">
        <v>0</v>
      </c>
      <c r="BJ85" s="9">
        <v>0</v>
      </c>
      <c r="BK85" s="9">
        <v>2.99</v>
      </c>
      <c r="BL85" s="9">
        <v>3.48</v>
      </c>
      <c r="BM85" s="9">
        <v>0.73599999999999999</v>
      </c>
      <c r="BN85" s="9">
        <v>0</v>
      </c>
      <c r="BO85" s="9">
        <v>29.3</v>
      </c>
      <c r="BP85" s="9">
        <v>20.100000000000001</v>
      </c>
      <c r="BQ85" s="9">
        <v>0</v>
      </c>
      <c r="BR85" s="9">
        <v>0</v>
      </c>
      <c r="BS85" s="9">
        <v>0</v>
      </c>
      <c r="BT85" s="9">
        <v>0</v>
      </c>
      <c r="BU85" s="9">
        <v>510</v>
      </c>
      <c r="BV85" s="9">
        <v>0.185</v>
      </c>
      <c r="BW85" s="9">
        <v>8.7499999999999994E-2</v>
      </c>
      <c r="BX85" s="9">
        <v>0</v>
      </c>
    </row>
    <row r="86" spans="1:76" x14ac:dyDescent="0.3">
      <c r="A86" s="5" t="s">
        <v>88</v>
      </c>
      <c r="B86" s="11" t="s">
        <v>128</v>
      </c>
      <c r="C86" s="11" t="str">
        <f t="shared" si="1"/>
        <v>941,2005-2010</v>
      </c>
      <c r="D86" s="6">
        <v>1.74</v>
      </c>
      <c r="E86" s="6">
        <v>6.93</v>
      </c>
      <c r="F86" s="6">
        <v>10.6</v>
      </c>
      <c r="G86" s="6">
        <v>5.4799994999999999</v>
      </c>
      <c r="H86" s="6">
        <v>1.79</v>
      </c>
      <c r="I86" s="6">
        <v>9.84</v>
      </c>
      <c r="J86" s="6">
        <v>0.65200000000000002</v>
      </c>
      <c r="K86" s="6">
        <v>1.92</v>
      </c>
      <c r="L86" s="6">
        <v>3.375</v>
      </c>
      <c r="M86" s="6">
        <v>480</v>
      </c>
      <c r="N86" s="6">
        <v>168</v>
      </c>
      <c r="O86" s="6">
        <v>336</v>
      </c>
      <c r="P86" s="6">
        <v>480</v>
      </c>
      <c r="Q86" s="6">
        <v>5</v>
      </c>
      <c r="R86" s="6">
        <v>10</v>
      </c>
      <c r="S86" s="6">
        <v>264</v>
      </c>
      <c r="T86" s="6">
        <v>1368</v>
      </c>
      <c r="U86" s="6">
        <v>12</v>
      </c>
      <c r="V86" s="6">
        <v>14.805</v>
      </c>
      <c r="W86" s="6">
        <v>26.4</v>
      </c>
      <c r="X86" s="6">
        <v>43.335000000000001</v>
      </c>
      <c r="Y86" s="6">
        <v>21.6</v>
      </c>
      <c r="Z86" s="6">
        <v>0.72</v>
      </c>
      <c r="AA86" s="6">
        <v>2.7</v>
      </c>
      <c r="AB86" s="6">
        <v>5.58</v>
      </c>
      <c r="AC86" s="6">
        <v>0.23265</v>
      </c>
      <c r="AD86" s="6">
        <v>1.08</v>
      </c>
      <c r="AE86" s="6">
        <v>0</v>
      </c>
      <c r="AF86" s="6">
        <v>3.1320000000000001E-2</v>
      </c>
      <c r="AG86" s="6">
        <v>2.7855000000000001E-2</v>
      </c>
      <c r="AH86" s="6">
        <v>0</v>
      </c>
      <c r="AI86" s="6">
        <v>0</v>
      </c>
      <c r="AJ86" s="6">
        <v>0</v>
      </c>
      <c r="AK86" s="6">
        <v>0</v>
      </c>
      <c r="AL86" s="6">
        <v>0</v>
      </c>
      <c r="AM86" s="6">
        <v>0.15</v>
      </c>
      <c r="AN86" s="6">
        <v>0.15</v>
      </c>
      <c r="AO86" s="6">
        <v>0.94199999999999995</v>
      </c>
      <c r="AP86" s="6">
        <v>0.64600000000000002</v>
      </c>
      <c r="AQ86" s="6">
        <v>0</v>
      </c>
      <c r="AR86" s="6">
        <v>0</v>
      </c>
      <c r="AS86" s="6">
        <v>2.2000000000000002</v>
      </c>
      <c r="AT86" s="6">
        <v>0.9</v>
      </c>
      <c r="AU86" s="6">
        <v>2.2000000000000002</v>
      </c>
      <c r="AV86" s="6">
        <v>6.6</v>
      </c>
      <c r="AW86" s="6">
        <v>4.33</v>
      </c>
      <c r="AX86" s="6">
        <v>19.399999999999999</v>
      </c>
      <c r="AY86" s="6">
        <v>1.07</v>
      </c>
      <c r="AZ86" s="6">
        <v>1.53</v>
      </c>
      <c r="BA86" s="6">
        <v>3.49</v>
      </c>
      <c r="BB86" s="6">
        <v>0</v>
      </c>
      <c r="BC86" s="6">
        <v>1.18</v>
      </c>
      <c r="BD86" s="6">
        <v>0</v>
      </c>
      <c r="BE86" s="6">
        <v>29.8</v>
      </c>
      <c r="BF86" s="6">
        <v>50.2</v>
      </c>
      <c r="BG86" s="6">
        <v>2.75</v>
      </c>
      <c r="BH86" s="6">
        <v>0</v>
      </c>
      <c r="BI86" s="6">
        <v>0</v>
      </c>
      <c r="BJ86" s="6">
        <v>0</v>
      </c>
      <c r="BK86" s="6">
        <v>4.2</v>
      </c>
      <c r="BL86" s="6">
        <v>4.37</v>
      </c>
      <c r="BM86" s="6">
        <v>1.45</v>
      </c>
      <c r="BN86" s="6">
        <v>0</v>
      </c>
      <c r="BO86" s="6">
        <v>33.200000000000003</v>
      </c>
      <c r="BP86" s="6">
        <v>24</v>
      </c>
      <c r="BQ86" s="6">
        <v>0</v>
      </c>
      <c r="BR86" s="6">
        <v>0</v>
      </c>
      <c r="BS86" s="6">
        <v>0</v>
      </c>
      <c r="BT86" s="6">
        <v>0</v>
      </c>
      <c r="BU86" s="6">
        <v>510</v>
      </c>
      <c r="BV86" s="6">
        <v>0.185</v>
      </c>
      <c r="BW86" s="6">
        <v>8.7499999999999994E-2</v>
      </c>
      <c r="BX86" s="6">
        <v>0</v>
      </c>
    </row>
    <row r="87" spans="1:76" x14ac:dyDescent="0.3">
      <c r="A87" s="8" t="s">
        <v>88</v>
      </c>
      <c r="B87" s="12" t="s">
        <v>129</v>
      </c>
      <c r="C87" s="12" t="str">
        <f t="shared" si="1"/>
        <v>941,2010-2015</v>
      </c>
      <c r="D87" s="9">
        <v>1.64</v>
      </c>
      <c r="E87" s="9">
        <v>6.93</v>
      </c>
      <c r="F87" s="9">
        <v>9.66</v>
      </c>
      <c r="G87" s="9">
        <v>4.9000000000000004</v>
      </c>
      <c r="H87" s="9">
        <v>1.59</v>
      </c>
      <c r="I87" s="9">
        <v>9.5500000000000007</v>
      </c>
      <c r="J87" s="9">
        <v>0.60299999999999998</v>
      </c>
      <c r="K87" s="9">
        <v>0.81299999999999994</v>
      </c>
      <c r="L87" s="9">
        <v>3.375</v>
      </c>
      <c r="M87" s="9">
        <v>480</v>
      </c>
      <c r="N87" s="9">
        <v>168</v>
      </c>
      <c r="O87" s="9">
        <v>336</v>
      </c>
      <c r="P87" s="9">
        <v>480</v>
      </c>
      <c r="Q87" s="9">
        <v>5</v>
      </c>
      <c r="R87" s="9">
        <v>10</v>
      </c>
      <c r="S87" s="9">
        <v>264</v>
      </c>
      <c r="T87" s="9">
        <v>1368</v>
      </c>
      <c r="U87" s="9">
        <v>12</v>
      </c>
      <c r="V87" s="9">
        <v>14.805</v>
      </c>
      <c r="W87" s="9">
        <v>26.4</v>
      </c>
      <c r="X87" s="9">
        <v>43.335000000000001</v>
      </c>
      <c r="Y87" s="9">
        <v>21.824999999999999</v>
      </c>
      <c r="Z87" s="9">
        <v>0.65700000000000003</v>
      </c>
      <c r="AA87" s="9">
        <v>2.7</v>
      </c>
      <c r="AB87" s="9">
        <v>5.8049999999999997</v>
      </c>
      <c r="AC87" s="9">
        <v>0.2394</v>
      </c>
      <c r="AD87" s="9">
        <v>1.089</v>
      </c>
      <c r="AE87" s="9">
        <v>0</v>
      </c>
      <c r="AF87" s="9">
        <v>3.2669999999999998E-2</v>
      </c>
      <c r="AG87" s="9">
        <v>2.7855000000000001E-2</v>
      </c>
      <c r="AH87" s="9">
        <v>0</v>
      </c>
      <c r="AI87" s="9">
        <v>0</v>
      </c>
      <c r="AJ87" s="9">
        <v>0</v>
      </c>
      <c r="AK87" s="9">
        <v>0</v>
      </c>
      <c r="AL87" s="9">
        <v>0</v>
      </c>
      <c r="AM87" s="9">
        <v>0.16600000000000001</v>
      </c>
      <c r="AN87" s="9">
        <v>0.16600000000000001</v>
      </c>
      <c r="AO87" s="9">
        <v>1.03</v>
      </c>
      <c r="AP87" s="9">
        <v>0.70399999999999996</v>
      </c>
      <c r="AQ87" s="9">
        <v>0</v>
      </c>
      <c r="AR87" s="9">
        <v>0</v>
      </c>
      <c r="AS87" s="9">
        <v>2.2000000000000002</v>
      </c>
      <c r="AT87" s="9">
        <v>0.9</v>
      </c>
      <c r="AU87" s="9">
        <v>2.2000000000000002</v>
      </c>
      <c r="AV87" s="9">
        <v>6.6</v>
      </c>
      <c r="AW87" s="9">
        <v>5.43</v>
      </c>
      <c r="AX87" s="9">
        <v>25</v>
      </c>
      <c r="AY87" s="9">
        <v>1.44</v>
      </c>
      <c r="AZ87" s="9">
        <v>2.44</v>
      </c>
      <c r="BA87" s="9">
        <v>3.05</v>
      </c>
      <c r="BB87" s="9">
        <v>0</v>
      </c>
      <c r="BC87" s="9">
        <v>1.19</v>
      </c>
      <c r="BD87" s="9">
        <v>0</v>
      </c>
      <c r="BE87" s="9">
        <v>29.7</v>
      </c>
      <c r="BF87" s="9">
        <v>53.3</v>
      </c>
      <c r="BG87" s="9">
        <v>2.31</v>
      </c>
      <c r="BH87" s="9">
        <v>0</v>
      </c>
      <c r="BI87" s="9">
        <v>0</v>
      </c>
      <c r="BJ87" s="9">
        <v>0</v>
      </c>
      <c r="BK87" s="9">
        <v>5.75</v>
      </c>
      <c r="BL87" s="9">
        <v>5.29</v>
      </c>
      <c r="BM87" s="9">
        <v>1.67</v>
      </c>
      <c r="BN87" s="9">
        <v>0</v>
      </c>
      <c r="BO87" s="9">
        <v>38.4</v>
      </c>
      <c r="BP87" s="9">
        <v>28.4</v>
      </c>
      <c r="BQ87" s="9">
        <v>0</v>
      </c>
      <c r="BR87" s="9">
        <v>0</v>
      </c>
      <c r="BS87" s="9">
        <v>0</v>
      </c>
      <c r="BT87" s="9">
        <v>0</v>
      </c>
      <c r="BU87" s="9">
        <v>510</v>
      </c>
      <c r="BV87" s="9">
        <v>0.185</v>
      </c>
      <c r="BW87" s="9">
        <v>8.7499999999999994E-2</v>
      </c>
      <c r="BX87" s="9">
        <v>0</v>
      </c>
    </row>
    <row r="88" spans="1:76" x14ac:dyDescent="0.3">
      <c r="A88" s="5" t="s">
        <v>88</v>
      </c>
      <c r="B88" s="11" t="s">
        <v>130</v>
      </c>
      <c r="C88" s="11" t="str">
        <f t="shared" si="1"/>
        <v>941,2015-2020</v>
      </c>
      <c r="D88" s="6">
        <v>1.43</v>
      </c>
      <c r="E88" s="6">
        <v>6.93</v>
      </c>
      <c r="F88" s="6">
        <v>10.6</v>
      </c>
      <c r="G88" s="6">
        <v>5.3</v>
      </c>
      <c r="H88" s="6">
        <v>0.83</v>
      </c>
      <c r="I88" s="6">
        <v>9.1999999999999993</v>
      </c>
      <c r="J88" s="6">
        <v>0.67200000000000004</v>
      </c>
      <c r="K88" s="6">
        <v>0.95099999999999996</v>
      </c>
      <c r="L88" s="6">
        <v>3.375</v>
      </c>
      <c r="M88" s="6">
        <v>480</v>
      </c>
      <c r="N88" s="6">
        <v>168</v>
      </c>
      <c r="O88" s="6">
        <v>336</v>
      </c>
      <c r="P88" s="6">
        <v>480</v>
      </c>
      <c r="Q88" s="6">
        <v>5</v>
      </c>
      <c r="R88" s="6">
        <v>10</v>
      </c>
      <c r="S88" s="6">
        <v>264</v>
      </c>
      <c r="T88" s="6">
        <v>1368</v>
      </c>
      <c r="U88" s="6">
        <v>12</v>
      </c>
      <c r="V88" s="6">
        <v>14.805</v>
      </c>
      <c r="W88" s="6">
        <v>26.4</v>
      </c>
      <c r="X88" s="6">
        <v>43.335000000000001</v>
      </c>
      <c r="Y88" s="6">
        <v>21.51</v>
      </c>
      <c r="Z88" s="6">
        <v>0.58499999999999996</v>
      </c>
      <c r="AA88" s="6">
        <v>2.7</v>
      </c>
      <c r="AB88" s="6">
        <v>5.8949999999999996</v>
      </c>
      <c r="AC88" s="6">
        <v>0.27450000000000002</v>
      </c>
      <c r="AD88" s="6">
        <v>1.1160000000000001</v>
      </c>
      <c r="AE88" s="6">
        <v>0</v>
      </c>
      <c r="AF88" s="6">
        <v>3.3165E-2</v>
      </c>
      <c r="AG88" s="6">
        <v>2.7855000000000001E-2</v>
      </c>
      <c r="AH88" s="6">
        <v>0</v>
      </c>
      <c r="AI88" s="6">
        <v>0</v>
      </c>
      <c r="AJ88" s="6">
        <v>0</v>
      </c>
      <c r="AK88" s="6">
        <v>0</v>
      </c>
      <c r="AL88" s="6">
        <v>0</v>
      </c>
      <c r="AM88" s="6">
        <v>0.18099999999999999</v>
      </c>
      <c r="AN88" s="6">
        <v>0.18099999999999999</v>
      </c>
      <c r="AO88" s="6">
        <v>1.1100000000000001</v>
      </c>
      <c r="AP88" s="6">
        <v>0.76100000000000001</v>
      </c>
      <c r="AQ88" s="6">
        <v>0</v>
      </c>
      <c r="AR88" s="6">
        <v>0</v>
      </c>
      <c r="AS88" s="6">
        <v>2.2000000000000002</v>
      </c>
      <c r="AT88" s="6">
        <v>0.9</v>
      </c>
      <c r="AU88" s="6">
        <v>2.2000000000000002</v>
      </c>
      <c r="AV88" s="6">
        <v>6.6</v>
      </c>
      <c r="AW88" s="6">
        <v>5.75</v>
      </c>
      <c r="AX88" s="6">
        <v>27.000001999999999</v>
      </c>
      <c r="AY88" s="6">
        <v>1.89</v>
      </c>
      <c r="AZ88" s="6">
        <v>3.59</v>
      </c>
      <c r="BA88" s="6">
        <v>2.27</v>
      </c>
      <c r="BB88" s="6">
        <v>0</v>
      </c>
      <c r="BC88" s="6">
        <v>1.1399999999999999</v>
      </c>
      <c r="BD88" s="6">
        <v>0</v>
      </c>
      <c r="BE88" s="6">
        <v>30.1</v>
      </c>
      <c r="BF88" s="6">
        <v>56.2</v>
      </c>
      <c r="BG88" s="6">
        <v>1.32</v>
      </c>
      <c r="BH88" s="6">
        <v>0</v>
      </c>
      <c r="BI88" s="6">
        <v>0</v>
      </c>
      <c r="BJ88" s="6">
        <v>0</v>
      </c>
      <c r="BK88" s="6">
        <v>6.96</v>
      </c>
      <c r="BL88" s="6">
        <v>6.03</v>
      </c>
      <c r="BM88" s="6">
        <v>1.1599999999999999</v>
      </c>
      <c r="BN88" s="6">
        <v>0</v>
      </c>
      <c r="BO88" s="6">
        <v>43.1</v>
      </c>
      <c r="BP88" s="6">
        <v>32.5</v>
      </c>
      <c r="BQ88" s="6">
        <v>0</v>
      </c>
      <c r="BR88" s="6">
        <v>0</v>
      </c>
      <c r="BS88" s="6">
        <v>0</v>
      </c>
      <c r="BT88" s="6">
        <v>0</v>
      </c>
      <c r="BU88" s="6">
        <v>510</v>
      </c>
      <c r="BV88" s="6">
        <v>0.185</v>
      </c>
      <c r="BW88" s="6">
        <v>8.7499999999999994E-2</v>
      </c>
      <c r="BX88" s="6">
        <v>0</v>
      </c>
    </row>
    <row r="89" spans="1:76" x14ac:dyDescent="0.3">
      <c r="A89" s="8" t="s">
        <v>88</v>
      </c>
      <c r="B89" s="12" t="s">
        <v>131</v>
      </c>
      <c r="C89" s="12" t="str">
        <f t="shared" si="1"/>
        <v>941,2020-</v>
      </c>
      <c r="D89" s="9">
        <v>1.43</v>
      </c>
      <c r="E89" s="9">
        <v>6.93</v>
      </c>
      <c r="F89" s="9">
        <v>10.6</v>
      </c>
      <c r="G89" s="9">
        <v>5.3</v>
      </c>
      <c r="H89" s="9">
        <v>0.83</v>
      </c>
      <c r="I89" s="9">
        <v>9.1999999999999993</v>
      </c>
      <c r="J89" s="9">
        <v>0.67200000000000004</v>
      </c>
      <c r="K89" s="9">
        <v>0.95099999999999996</v>
      </c>
      <c r="L89" s="9">
        <v>3.375</v>
      </c>
      <c r="M89" s="9">
        <v>480</v>
      </c>
      <c r="N89" s="9">
        <v>168</v>
      </c>
      <c r="O89" s="9">
        <v>600</v>
      </c>
      <c r="P89" s="9">
        <v>480</v>
      </c>
      <c r="Q89" s="9">
        <v>5</v>
      </c>
      <c r="R89" s="9">
        <v>10</v>
      </c>
      <c r="S89" s="9">
        <v>264</v>
      </c>
      <c r="T89" s="9">
        <v>1368</v>
      </c>
      <c r="U89" s="9">
        <v>12</v>
      </c>
      <c r="V89" s="9">
        <v>14.805</v>
      </c>
      <c r="W89" s="9">
        <v>26.4</v>
      </c>
      <c r="X89" s="9">
        <v>43.335000000000001</v>
      </c>
      <c r="Y89" s="9">
        <v>21.42</v>
      </c>
      <c r="Z89" s="9">
        <v>0.54449999999999998</v>
      </c>
      <c r="AA89" s="9">
        <v>2.7</v>
      </c>
      <c r="AB89" s="9">
        <v>5.9850000000000003</v>
      </c>
      <c r="AC89" s="9">
        <v>0.27</v>
      </c>
      <c r="AD89" s="9">
        <v>1.1025</v>
      </c>
      <c r="AE89" s="9">
        <v>0</v>
      </c>
      <c r="AF89" s="9">
        <v>3.3750000000000002E-2</v>
      </c>
      <c r="AG89" s="9">
        <v>2.7855000000000001E-2</v>
      </c>
      <c r="AH89" s="9">
        <v>0</v>
      </c>
      <c r="AI89" s="9">
        <v>0</v>
      </c>
      <c r="AJ89" s="9">
        <v>0</v>
      </c>
      <c r="AK89" s="9">
        <v>0</v>
      </c>
      <c r="AL89" s="9">
        <v>0</v>
      </c>
      <c r="AM89" s="9">
        <v>0.191</v>
      </c>
      <c r="AN89" s="9">
        <v>0.191</v>
      </c>
      <c r="AO89" s="9">
        <v>1.1599999999999999</v>
      </c>
      <c r="AP89" s="9">
        <v>0.79600000000000004</v>
      </c>
      <c r="AQ89" s="9">
        <v>0</v>
      </c>
      <c r="AR89" s="9">
        <v>0</v>
      </c>
      <c r="AS89" s="9">
        <v>2.2000000000000002</v>
      </c>
      <c r="AT89" s="9">
        <v>0.9</v>
      </c>
      <c r="AU89" s="9">
        <v>2.2000000000000002</v>
      </c>
      <c r="AV89" s="9">
        <v>6.6</v>
      </c>
      <c r="AW89" s="9">
        <v>5.75</v>
      </c>
      <c r="AX89" s="9">
        <v>27.000001999999999</v>
      </c>
      <c r="AY89" s="9">
        <v>1.89</v>
      </c>
      <c r="AZ89" s="9">
        <v>3.59</v>
      </c>
      <c r="BA89" s="9">
        <v>2.27</v>
      </c>
      <c r="BB89" s="9">
        <v>0</v>
      </c>
      <c r="BC89" s="9">
        <v>1.1399999999999999</v>
      </c>
      <c r="BD89" s="9">
        <v>0</v>
      </c>
      <c r="BE89" s="9">
        <v>30.1</v>
      </c>
      <c r="BF89" s="9">
        <v>56.2</v>
      </c>
      <c r="BG89" s="9">
        <v>1.32</v>
      </c>
      <c r="BH89" s="9">
        <v>0</v>
      </c>
      <c r="BI89" s="9"/>
      <c r="BJ89" s="9"/>
      <c r="BK89" s="9">
        <v>6.96</v>
      </c>
      <c r="BL89" s="9">
        <v>6.03</v>
      </c>
      <c r="BM89" s="9">
        <v>1.1599999999999999</v>
      </c>
      <c r="BN89" s="9">
        <v>0</v>
      </c>
      <c r="BO89" s="9">
        <v>43.1</v>
      </c>
      <c r="BP89" s="9">
        <v>32.5</v>
      </c>
      <c r="BQ89" s="9">
        <v>0</v>
      </c>
      <c r="BR89" s="9">
        <v>0</v>
      </c>
      <c r="BS89" s="9">
        <v>0</v>
      </c>
      <c r="BT89" s="9">
        <v>0</v>
      </c>
      <c r="BU89" s="9">
        <v>510</v>
      </c>
      <c r="BV89" s="9">
        <v>0.185</v>
      </c>
      <c r="BW89" s="9">
        <v>8.7499999999999994E-2</v>
      </c>
      <c r="BX89" s="9">
        <v>0</v>
      </c>
    </row>
  </sheetData>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4197-35EE-49E5-9E13-585AA9BB0E47}">
  <sheetPr codeName="Sheet5"/>
  <dimension ref="A1:AL308"/>
  <sheetViews>
    <sheetView topLeftCell="A132" workbookViewId="0">
      <selection activeCell="BX9" sqref="BX9:CA9"/>
    </sheetView>
  </sheetViews>
  <sheetFormatPr defaultRowHeight="14.4" x14ac:dyDescent="0.3"/>
  <cols>
    <col min="1" max="1" width="43" bestFit="1" customWidth="1"/>
    <col min="2" max="2" width="12.33203125" bestFit="1" customWidth="1"/>
    <col min="3" max="3" width="9.44140625" bestFit="1" customWidth="1"/>
    <col min="4" max="4" width="43" customWidth="1"/>
    <col min="5" max="5" width="10.6640625" customWidth="1"/>
    <col min="6" max="6" width="6.33203125" customWidth="1"/>
    <col min="7" max="7" width="43" customWidth="1"/>
    <col min="8" max="8" width="10.6640625" customWidth="1"/>
    <col min="9" max="9" width="6.33203125" customWidth="1"/>
    <col min="10" max="10" width="43" customWidth="1"/>
    <col min="11" max="11" width="10.6640625" customWidth="1"/>
    <col min="12" max="12" width="6.33203125" customWidth="1"/>
    <col min="13" max="13" width="43" customWidth="1"/>
    <col min="14" max="14" width="10.6640625" customWidth="1"/>
    <col min="15" max="15" width="6.33203125" customWidth="1"/>
    <col min="16" max="16" width="43" customWidth="1"/>
    <col min="17" max="17" width="10.6640625" customWidth="1"/>
    <col min="18" max="18" width="6.33203125" customWidth="1"/>
    <col min="19" max="19" width="43" customWidth="1"/>
    <col min="20" max="20" width="10.6640625" customWidth="1"/>
    <col min="21" max="21" width="6.33203125" customWidth="1"/>
    <col min="22" max="22" width="43" customWidth="1"/>
    <col min="23" max="23" width="10.6640625" customWidth="1"/>
    <col min="24" max="24" width="6.33203125" customWidth="1"/>
    <col min="25" max="25" width="43" customWidth="1"/>
    <col min="26" max="26" width="10.6640625" customWidth="1"/>
    <col min="27" max="27" width="6.33203125" customWidth="1"/>
    <col min="28" max="28" width="43" customWidth="1"/>
    <col min="29" max="29" width="10.6640625" customWidth="1"/>
    <col min="30" max="30" width="6.33203125" customWidth="1"/>
    <col min="31" max="31" width="43" customWidth="1"/>
    <col min="32" max="32" width="10.6640625" customWidth="1"/>
    <col min="33" max="33" width="6.33203125" customWidth="1"/>
    <col min="34" max="34" width="43" customWidth="1"/>
    <col min="35" max="35" width="10.6640625" customWidth="1"/>
    <col min="36" max="36" width="6.33203125" customWidth="1"/>
    <col min="37" max="37" width="43" customWidth="1"/>
    <col min="38" max="38" width="10.6640625" customWidth="1"/>
    <col min="39" max="39" width="6.33203125" customWidth="1"/>
  </cols>
  <sheetData>
    <row r="1" spans="1:3" ht="18" thickBot="1" x14ac:dyDescent="0.4">
      <c r="A1" s="10" t="s">
        <v>190</v>
      </c>
    </row>
    <row r="2" spans="1:3" ht="15" thickTop="1" x14ac:dyDescent="0.3">
      <c r="A2" s="8" t="s">
        <v>179</v>
      </c>
      <c r="B2" s="9" t="e" vm="4">
        <f ca="1">Tiedot!$B$11</f>
        <v>#VALUE!</v>
      </c>
      <c r="C2" s="9"/>
    </row>
    <row r="3" spans="1:3" x14ac:dyDescent="0.3">
      <c r="A3" s="5" t="str">
        <f>Tiedot!A12</f>
        <v>Runkomateriaali, ensisijainen</v>
      </c>
      <c r="B3" s="5">
        <f>Tiedot!B12</f>
        <v>0</v>
      </c>
      <c r="C3" s="5" t="e" vm="4">
        <f ca="1">Tiedot!C12</f>
        <v>#VALUE!</v>
      </c>
    </row>
    <row r="4" spans="1:3" x14ac:dyDescent="0.3">
      <c r="A4" s="8" t="str">
        <f>Tiedot!A13</f>
        <v>Runkomateriaali osuus, ensisijainen</v>
      </c>
      <c r="B4" s="9">
        <f>Tiedot!B13</f>
        <v>1</v>
      </c>
      <c r="C4" s="9"/>
    </row>
    <row r="5" spans="1:3" x14ac:dyDescent="0.3">
      <c r="A5" s="5" t="str">
        <f>Tiedot!A14</f>
        <v>Runkomateriaali, toissijainen</v>
      </c>
      <c r="B5" s="5">
        <f>Tiedot!B14</f>
        <v>0</v>
      </c>
      <c r="C5" s="5" t="e" vm="4">
        <f ca="1">Tiedot!C14</f>
        <v>#VALUE!</v>
      </c>
    </row>
    <row r="6" spans="1:3" x14ac:dyDescent="0.3">
      <c r="A6" s="8" t="str">
        <f>Tiedot!A15</f>
        <v>Runkomateriaali osuus, toissijainen</v>
      </c>
      <c r="B6" s="9">
        <f>Tiedot!B15</f>
        <v>0</v>
      </c>
      <c r="C6" s="9"/>
    </row>
    <row r="7" spans="1:3" x14ac:dyDescent="0.3">
      <c r="A7" s="5" t="s">
        <v>158</v>
      </c>
      <c r="B7" s="5">
        <f>Tiedot!B16</f>
        <v>0</v>
      </c>
      <c r="C7" s="5" t="e" vm="4">
        <f ca="1">Tiedot!C16</f>
        <v>#VALUE!</v>
      </c>
    </row>
    <row r="8" spans="1:3" x14ac:dyDescent="0.3">
      <c r="A8" s="8" t="s">
        <v>165</v>
      </c>
      <c r="B8" s="9">
        <f>Tiedot!B17</f>
        <v>1</v>
      </c>
      <c r="C8" s="9"/>
    </row>
    <row r="9" spans="1:3" x14ac:dyDescent="0.3">
      <c r="A9" s="5" t="s">
        <v>159</v>
      </c>
      <c r="B9" s="5">
        <f>Tiedot!B18</f>
        <v>0</v>
      </c>
      <c r="C9" s="5" t="e" vm="4">
        <f ca="1">Tiedot!C18</f>
        <v>#VALUE!</v>
      </c>
    </row>
    <row r="10" spans="1:3" x14ac:dyDescent="0.3">
      <c r="A10" s="8" t="s">
        <v>166</v>
      </c>
      <c r="B10" s="9">
        <f>Tiedot!B19</f>
        <v>0</v>
      </c>
      <c r="C10" s="9"/>
    </row>
    <row r="11" spans="1:3" x14ac:dyDescent="0.3">
      <c r="A11" s="5" t="s">
        <v>10</v>
      </c>
      <c r="B11" s="5">
        <f>Tiedot!B20</f>
        <v>0</v>
      </c>
      <c r="C11" s="5" t="e" vm="4">
        <f ca="1">Tiedot!C20</f>
        <v>#VALUE!</v>
      </c>
    </row>
    <row r="12" spans="1:3" x14ac:dyDescent="0.3">
      <c r="A12" s="8" t="s">
        <v>167</v>
      </c>
      <c r="B12" s="9">
        <f>Tiedot!B21</f>
        <v>0</v>
      </c>
      <c r="C12" s="9" t="e" vm="4">
        <f ca="1">Tiedot!C21</f>
        <v>#VALUE!</v>
      </c>
    </row>
    <row r="14" spans="1:3" ht="18" thickBot="1" x14ac:dyDescent="0.4">
      <c r="A14" s="10" t="s">
        <v>138</v>
      </c>
    </row>
    <row r="15" spans="1:3" ht="15" thickTop="1" x14ac:dyDescent="0.3">
      <c r="A15" s="2" t="s">
        <v>29</v>
      </c>
      <c r="B15" s="3" t="s">
        <v>164</v>
      </c>
    </row>
    <row r="16" spans="1:3" x14ac:dyDescent="0.3">
      <c r="A16" s="5" t="s">
        <v>294</v>
      </c>
      <c r="B16" s="5">
        <f>Tiedot!C26</f>
        <v>0</v>
      </c>
    </row>
    <row r="17" spans="1:3" x14ac:dyDescent="0.3">
      <c r="A17" s="8" t="s">
        <v>302</v>
      </c>
      <c r="B17" s="9">
        <f>Tiedot!C27</f>
        <v>0</v>
      </c>
    </row>
    <row r="18" spans="1:3" x14ac:dyDescent="0.3">
      <c r="A18" s="5" t="s">
        <v>295</v>
      </c>
      <c r="B18" s="5">
        <f>Tiedot!C28</f>
        <v>0</v>
      </c>
    </row>
    <row r="19" spans="1:3" x14ac:dyDescent="0.3">
      <c r="A19" s="8" t="s">
        <v>368</v>
      </c>
      <c r="B19" s="9">
        <f>Tiedot!C29</f>
        <v>0</v>
      </c>
    </row>
    <row r="20" spans="1:3" x14ac:dyDescent="0.3">
      <c r="A20" s="5" t="s">
        <v>389</v>
      </c>
      <c r="B20" s="5">
        <f>Tiedot!C30</f>
        <v>0</v>
      </c>
    </row>
    <row r="21" spans="1:3" x14ac:dyDescent="0.3">
      <c r="A21" s="8" t="s">
        <v>289</v>
      </c>
      <c r="B21" s="9">
        <f>Tiedot!C31</f>
        <v>0</v>
      </c>
    </row>
    <row r="22" spans="1:3" x14ac:dyDescent="0.3">
      <c r="A22" s="5" t="s">
        <v>290</v>
      </c>
      <c r="B22" s="5">
        <f>Tiedot!C32</f>
        <v>0</v>
      </c>
    </row>
    <row r="23" spans="1:3" x14ac:dyDescent="0.3">
      <c r="A23" s="8" t="s">
        <v>311</v>
      </c>
      <c r="B23" s="9">
        <f>Tiedot!C33</f>
        <v>0</v>
      </c>
      <c r="C23" s="9">
        <f>Tiedot!D33</f>
        <v>-1</v>
      </c>
    </row>
    <row r="24" spans="1:3" x14ac:dyDescent="0.3">
      <c r="A24" s="5" t="s">
        <v>292</v>
      </c>
      <c r="B24" s="5">
        <f>Tiedot!C34</f>
        <v>0</v>
      </c>
      <c r="C24" s="5">
        <f>Tiedot!D34</f>
        <v>-1</v>
      </c>
    </row>
    <row r="25" spans="1:3" x14ac:dyDescent="0.3">
      <c r="A25" s="8" t="s">
        <v>291</v>
      </c>
      <c r="B25" s="9">
        <f>Tiedot!C35</f>
        <v>0</v>
      </c>
      <c r="C25" s="9">
        <f>Tiedot!D35</f>
        <v>-1</v>
      </c>
    </row>
    <row r="26" spans="1:3" x14ac:dyDescent="0.3">
      <c r="A26" s="5" t="s">
        <v>293</v>
      </c>
      <c r="B26" s="5">
        <f>Tiedot!C36</f>
        <v>0</v>
      </c>
      <c r="C26" s="5">
        <f>Tiedot!D36</f>
        <v>-1</v>
      </c>
    </row>
    <row r="27" spans="1:3" x14ac:dyDescent="0.3">
      <c r="A27" s="8" t="s">
        <v>312</v>
      </c>
      <c r="B27" s="9">
        <f>Tiedot!C37</f>
        <v>0</v>
      </c>
      <c r="C27" s="9">
        <f>Tiedot!D37</f>
        <v>-1</v>
      </c>
    </row>
    <row r="29" spans="1:3" ht="18" thickBot="1" x14ac:dyDescent="0.4">
      <c r="A29" s="10" t="s">
        <v>21</v>
      </c>
    </row>
    <row r="30" spans="1:3" ht="15" thickTop="1" x14ac:dyDescent="0.3">
      <c r="A30" s="2" t="s">
        <v>16</v>
      </c>
      <c r="B30" s="2" t="s">
        <v>192</v>
      </c>
    </row>
    <row r="31" spans="1:3" x14ac:dyDescent="0.3">
      <c r="A31" s="5" t="str">
        <f>Tiedot!A40</f>
        <v>KerrosA</v>
      </c>
      <c r="B31" s="5">
        <f>Tiedot!D40</f>
        <v>0</v>
      </c>
    </row>
    <row r="32" spans="1:3" x14ac:dyDescent="0.3">
      <c r="A32" s="8" t="str">
        <f>Tiedot!A41</f>
        <v>Tilavuus</v>
      </c>
      <c r="B32" s="8" t="e" vm="4">
        <f ca="1">Tiedot!D41</f>
        <v>#VALUE!</v>
      </c>
    </row>
    <row r="33" spans="1:2" x14ac:dyDescent="0.3">
      <c r="A33" s="5" t="str">
        <f>Tiedot!A42</f>
        <v>PohjaA</v>
      </c>
      <c r="B33" s="5" t="e" vm="4">
        <f ca="1">Tiedot!D42</f>
        <v>#VALUE!</v>
      </c>
    </row>
    <row r="34" spans="1:2" x14ac:dyDescent="0.3">
      <c r="A34" s="8" t="str">
        <f>Tiedot!A43</f>
        <v>KerllariA</v>
      </c>
      <c r="B34" s="8">
        <f>Tiedot!D43</f>
        <v>0</v>
      </c>
    </row>
    <row r="35" spans="1:2" x14ac:dyDescent="0.3">
      <c r="A35" s="5" t="str">
        <f>Tiedot!A44</f>
        <v>VälipohjaA</v>
      </c>
      <c r="B35" s="5" t="e" vm="4">
        <f ca="1">Tiedot!D44</f>
        <v>#VALUE!</v>
      </c>
    </row>
    <row r="36" spans="1:2" x14ac:dyDescent="0.3">
      <c r="A36" s="8" t="str">
        <f>Tiedot!A45</f>
        <v>JulkisivuA</v>
      </c>
      <c r="B36" s="8" t="e" vm="4">
        <f ca="1">Tiedot!D45</f>
        <v>#VALUE!</v>
      </c>
    </row>
    <row r="37" spans="1:2" x14ac:dyDescent="0.3">
      <c r="A37" s="5" t="str">
        <f>Tiedot!A46</f>
        <v>EnsiRunkoA</v>
      </c>
      <c r="B37" s="5" t="e" vm="4">
        <f ca="1">Tiedot!D46</f>
        <v>#VALUE!</v>
      </c>
    </row>
    <row r="38" spans="1:2" x14ac:dyDescent="0.3">
      <c r="A38" s="8" t="str">
        <f>Tiedot!A47</f>
        <v>ToisRunkoA</v>
      </c>
      <c r="B38" s="8" t="e" vm="4">
        <f ca="1">Tiedot!D47</f>
        <v>#VALUE!</v>
      </c>
    </row>
    <row r="39" spans="1:2" x14ac:dyDescent="0.3">
      <c r="A39" s="5" t="str">
        <f>Tiedot!A48</f>
        <v>EnsiJulkisivuA</v>
      </c>
      <c r="B39" s="5" t="e" vm="4">
        <f ca="1">Tiedot!D48</f>
        <v>#VALUE!</v>
      </c>
    </row>
    <row r="40" spans="1:2" x14ac:dyDescent="0.3">
      <c r="A40" s="8" t="str">
        <f>Tiedot!A49</f>
        <v>ToisJulkisivuA</v>
      </c>
      <c r="B40" s="8" t="e" vm="4">
        <f ca="1">Tiedot!D49</f>
        <v>#VALUE!</v>
      </c>
    </row>
    <row r="41" spans="1:2" x14ac:dyDescent="0.3">
      <c r="A41" s="5" t="str">
        <f>Tiedot!A50</f>
        <v>IkkunaA</v>
      </c>
      <c r="B41" s="5" t="e" vm="4">
        <f ca="1">Tiedot!D50</f>
        <v>#VALUE!</v>
      </c>
    </row>
    <row r="42" spans="1:2" x14ac:dyDescent="0.3">
      <c r="A42" s="8" t="str">
        <f>Tiedot!A51</f>
        <v>KattoA</v>
      </c>
      <c r="B42" s="8">
        <f>Tiedot!D51</f>
        <v>0</v>
      </c>
    </row>
    <row r="43" spans="1:2" x14ac:dyDescent="0.3">
      <c r="A43" s="5" t="str">
        <f>Tiedot!A52</f>
        <v>KattoATasa</v>
      </c>
      <c r="B43" s="5">
        <f>Tiedot!D52</f>
        <v>0</v>
      </c>
    </row>
    <row r="44" spans="1:2" x14ac:dyDescent="0.3">
      <c r="A44" s="8" t="str">
        <f>Tiedot!A53</f>
        <v>KattoAHarja</v>
      </c>
      <c r="B44" s="8">
        <f>Tiedot!D53</f>
        <v>0</v>
      </c>
    </row>
    <row r="45" spans="1:2" x14ac:dyDescent="0.3">
      <c r="A45" s="5" t="str">
        <f>Tiedot!A54</f>
        <v>VäliseinäA</v>
      </c>
      <c r="B45" s="5" t="e" vm="4">
        <f ca="1">Tiedot!D54</f>
        <v>#VALUE!</v>
      </c>
    </row>
    <row r="46" spans="1:2" x14ac:dyDescent="0.3">
      <c r="A46" s="8" t="str">
        <f>Tiedot!A55</f>
        <v>MärkätilaA</v>
      </c>
      <c r="B46" s="8" t="e" vm="4">
        <f ca="1">Tiedot!D55</f>
        <v>#VALUE!</v>
      </c>
    </row>
    <row r="47" spans="1:2" x14ac:dyDescent="0.3">
      <c r="A47" s="5" t="str">
        <f>Tiedot!A56</f>
        <v>KellariV</v>
      </c>
      <c r="B47" s="5">
        <f>Tiedot!D56</f>
        <v>0</v>
      </c>
    </row>
    <row r="48" spans="1:2" x14ac:dyDescent="0.3">
      <c r="A48" s="8" t="str">
        <f>Tiedot!A57</f>
        <v>Pohjapiiri</v>
      </c>
      <c r="B48" s="8" t="e" vm="4">
        <f ca="1">Tiedot!D57</f>
        <v>#VALUE!</v>
      </c>
    </row>
    <row r="49" spans="1:2" x14ac:dyDescent="0.3">
      <c r="A49" s="5" t="str">
        <f>Tiedot!A58</f>
        <v>Kellaripiiri</v>
      </c>
      <c r="B49" s="5">
        <f>Tiedot!D58</f>
        <v>0</v>
      </c>
    </row>
    <row r="50" spans="1:2" x14ac:dyDescent="0.3">
      <c r="A50" s="8" t="str">
        <f>Tiedot!A59</f>
        <v>NurkkaLKM</v>
      </c>
      <c r="B50" s="8" t="e" vm="4">
        <f ca="1">Tiedot!D59</f>
        <v>#VALUE!</v>
      </c>
    </row>
    <row r="51" spans="1:2" x14ac:dyDescent="0.3">
      <c r="A51" s="5" t="str">
        <f>Tiedot!A60</f>
        <v>Purettavan asfaltoidun pihan pinta-ala*</v>
      </c>
      <c r="B51" s="5">
        <f>Tiedot!D60</f>
        <v>0</v>
      </c>
    </row>
    <row r="52" spans="1:2" x14ac:dyDescent="0.3">
      <c r="A52" s="8" t="s">
        <v>335</v>
      </c>
      <c r="B52" s="12">
        <f>Tiedot!B78</f>
        <v>2</v>
      </c>
    </row>
    <row r="53" spans="1:2" x14ac:dyDescent="0.3">
      <c r="A53" s="5" t="s">
        <v>336</v>
      </c>
      <c r="B53" s="72">
        <f>Tiedot!B79</f>
        <v>0</v>
      </c>
    </row>
    <row r="54" spans="1:2" x14ac:dyDescent="0.3">
      <c r="A54" s="8" t="s">
        <v>364</v>
      </c>
      <c r="B54" s="8" t="b">
        <f>Tiedot!B80</f>
        <v>0</v>
      </c>
    </row>
    <row r="56" spans="1:2" x14ac:dyDescent="0.3">
      <c r="A56" s="2" t="s">
        <v>171</v>
      </c>
      <c r="B56" s="1" t="s">
        <v>192</v>
      </c>
    </row>
    <row r="57" spans="1:2" x14ac:dyDescent="0.3">
      <c r="A57" s="5" t="str">
        <f>Materiaaliparametrit!D1</f>
        <v>sokkelibitumi</v>
      </c>
      <c r="B57" s="4" t="e" vm="4">
        <f ca="1">INDEX(Materiaaliparametrit!$D$2:$XX$200,MATCH(Materiaalilaskenta!$B$2,Materiaaliparametrit!$C$2:$C$200,0),MATCH(Materiaalilaskenta!$A57,Materiaaliparametrit!$D$1:$XX$1,0))</f>
        <v>#VALUE!</v>
      </c>
    </row>
    <row r="58" spans="1:2" x14ac:dyDescent="0.3">
      <c r="A58" s="8" t="str">
        <f>Materiaaliparametrit!E1</f>
        <v>bitumihuopa</v>
      </c>
      <c r="B58" s="7" t="e" vm="4">
        <f ca="1">INDEX(Materiaaliparametrit!$D$2:$XX$200,MATCH(Materiaalilaskenta!$B$2,Materiaaliparametrit!$C$2:$C$200,0),MATCH(Materiaalilaskenta!$A58,Materiaaliparametrit!$D$1:$XX$1,0))</f>
        <v>#VALUE!</v>
      </c>
    </row>
    <row r="59" spans="1:2" x14ac:dyDescent="0.3">
      <c r="A59" s="5" t="str">
        <f>Materiaaliparametrit!F1</f>
        <v>kipsiulkoseinä</v>
      </c>
      <c r="B59" s="4" t="e" vm="4">
        <f ca="1">INDEX(Materiaaliparametrit!$D$2:$XX$200,MATCH(Materiaalilaskenta!$B$2,Materiaaliparametrit!$C$2:$C$200,0),MATCH(Materiaalilaskenta!$A59,Materiaaliparametrit!$D$1:$XX$1,0))</f>
        <v>#VALUE!</v>
      </c>
    </row>
    <row r="60" spans="1:2" x14ac:dyDescent="0.3">
      <c r="A60" s="8" t="str">
        <f>Materiaaliparametrit!G1</f>
        <v>kipsiväliseinä</v>
      </c>
      <c r="B60" s="7" t="e" vm="4">
        <f ca="1">INDEX(Materiaaliparametrit!$D$2:$XX$200,MATCH(Materiaalilaskenta!$B$2,Materiaaliparametrit!$C$2:$C$200,0),MATCH(Materiaalilaskenta!$A60,Materiaaliparametrit!$D$1:$XX$1,0))</f>
        <v>#VALUE!</v>
      </c>
    </row>
    <row r="61" spans="1:2" x14ac:dyDescent="0.3">
      <c r="A61" s="5" t="str">
        <f>Materiaaliparametrit!H1</f>
        <v>kipsisisäkatto</v>
      </c>
      <c r="B61" s="4" t="e" vm="4">
        <f ca="1">INDEX(Materiaaliparametrit!$D$2:$XX$200,MATCH(Materiaalilaskenta!$B$2,Materiaaliparametrit!$C$2:$C$200,0),MATCH(Materiaalilaskenta!$A61,Materiaaliparametrit!$D$1:$XX$1,0))</f>
        <v>#VALUE!</v>
      </c>
    </row>
    <row r="62" spans="1:2" x14ac:dyDescent="0.3">
      <c r="A62" s="8" t="str">
        <f>Materiaaliparametrit!I1</f>
        <v>kipsiyläpohja</v>
      </c>
      <c r="B62" s="7" t="e" vm="4">
        <f ca="1">INDEX(Materiaaliparametrit!$D$2:$XX$200,MATCH(Materiaalilaskenta!$B$2,Materiaaliparametrit!$C$2:$C$200,0),MATCH(Materiaalilaskenta!$A62,Materiaaliparametrit!$D$1:$XX$1,0))</f>
        <v>#VALUE!</v>
      </c>
    </row>
    <row r="63" spans="1:2" x14ac:dyDescent="0.3">
      <c r="A63" s="5" t="str">
        <f>Materiaaliparametrit!J1</f>
        <v>kipsimuut</v>
      </c>
      <c r="B63" s="4" t="e" vm="4">
        <f ca="1">INDEX(Materiaaliparametrit!$D$2:$XX$200,MATCH(Materiaalilaskenta!$B$2,Materiaaliparametrit!$C$2:$C$200,0),MATCH(Materiaalilaskenta!$A63,Materiaaliparametrit!$D$1:$XX$1,0))</f>
        <v>#VALUE!</v>
      </c>
    </row>
    <row r="64" spans="1:2" x14ac:dyDescent="0.3">
      <c r="A64" s="8" t="str">
        <f>Materiaaliparametrit!K1</f>
        <v>laatoitus</v>
      </c>
      <c r="B64" s="7" t="e" vm="4">
        <f ca="1">INDEX(Materiaaliparametrit!$D$2:$XX$200,MATCH(Materiaalilaskenta!$B$2,Materiaaliparametrit!$C$2:$C$200,0),MATCH(Materiaalilaskenta!$A64,Materiaaliparametrit!$D$1:$XX$1,0))</f>
        <v>#VALUE!</v>
      </c>
    </row>
    <row r="65" spans="1:2" x14ac:dyDescent="0.3">
      <c r="A65" s="5" t="str">
        <f>Materiaaliparametrit!L1</f>
        <v>lasi</v>
      </c>
      <c r="B65" s="4" t="e" vm="4">
        <f ca="1">INDEX(Materiaaliparametrit!$D$2:$XX$200,MATCH(Materiaalilaskenta!$B$2,Materiaaliparametrit!$C$2:$C$200,0),MATCH(Materiaalilaskenta!$A65,Materiaaliparametrit!$D$1:$XX$1,0))</f>
        <v>#VALUE!</v>
      </c>
    </row>
    <row r="66" spans="1:2" x14ac:dyDescent="0.3">
      <c r="A66" s="8" t="str">
        <f>Materiaaliparametrit!M1</f>
        <v>betonirunko</v>
      </c>
      <c r="B66" s="7" t="e" vm="4">
        <f ca="1">INDEX(Materiaaliparametrit!$D$2:$XX$200,MATCH(Materiaalilaskenta!$B$2,Materiaaliparametrit!$C$2:$C$200,0),MATCH(Materiaalilaskenta!$A66,Materiaaliparametrit!$D$1:$XX$1,0))</f>
        <v>#VALUE!</v>
      </c>
    </row>
    <row r="67" spans="1:2" x14ac:dyDescent="0.3">
      <c r="A67" s="5" t="str">
        <f>Materiaaliparametrit!N1</f>
        <v>betonijulkisivu</v>
      </c>
      <c r="B67" s="4" t="e" vm="4">
        <f ca="1">INDEX(Materiaaliparametrit!$D$2:$XX$200,MATCH(Materiaalilaskenta!$B$2,Materiaaliparametrit!$C$2:$C$200,0),MATCH(Materiaalilaskenta!$A67,Materiaaliparametrit!$D$1:$XX$1,0))</f>
        <v>#VALUE!</v>
      </c>
    </row>
    <row r="68" spans="1:2" x14ac:dyDescent="0.3">
      <c r="A68" s="8" t="str">
        <f>Materiaaliparametrit!O1</f>
        <v>betonialapohja</v>
      </c>
      <c r="B68" s="7" t="e" vm="4">
        <f ca="1">INDEX(Materiaaliparametrit!$D$2:$XX$200,MATCH(Materiaalilaskenta!$B$2,Materiaaliparametrit!$C$2:$C$200,0),MATCH(Materiaalilaskenta!$A68,Materiaaliparametrit!$D$1:$XX$1,0))</f>
        <v>#VALUE!</v>
      </c>
    </row>
    <row r="69" spans="1:2" x14ac:dyDescent="0.3">
      <c r="A69" s="5" t="str">
        <f>Materiaaliparametrit!P1</f>
        <v>betonivälipohja</v>
      </c>
      <c r="B69" s="4" t="e" vm="4">
        <f ca="1">INDEX(Materiaaliparametrit!$D$2:$XX$200,MATCH(Materiaalilaskenta!$B$2,Materiaaliparametrit!$C$2:$C$200,0),MATCH(Materiaalilaskenta!$A69,Materiaaliparametrit!$D$1:$XX$1,0))</f>
        <v>#VALUE!</v>
      </c>
    </row>
    <row r="70" spans="1:2" x14ac:dyDescent="0.3">
      <c r="A70" s="8" t="str">
        <f>Materiaaliparametrit!Q1</f>
        <v>betoniyläpohja</v>
      </c>
      <c r="B70" s="7" t="e" vm="4">
        <f ca="1">INDEX(Materiaaliparametrit!$D$2:$XX$200,MATCH(Materiaalilaskenta!$B$2,Materiaaliparametrit!$C$2:$C$200,0),MATCH(Materiaalilaskenta!$A70,Materiaaliparametrit!$D$1:$XX$1,0))</f>
        <v>#VALUE!</v>
      </c>
    </row>
    <row r="71" spans="1:2" x14ac:dyDescent="0.3">
      <c r="A71" s="5" t="str">
        <f>Materiaaliparametrit!R1</f>
        <v>betoniväliseinä</v>
      </c>
      <c r="B71" s="4" t="e" vm="4">
        <f ca="1">INDEX(Materiaaliparametrit!$D$2:$XX$200,MATCH(Materiaalilaskenta!$B$2,Materiaaliparametrit!$C$2:$C$200,0),MATCH(Materiaalilaskenta!$A71,Materiaaliparametrit!$D$1:$XX$1,0))</f>
        <v>#VALUE!</v>
      </c>
    </row>
    <row r="72" spans="1:2" x14ac:dyDescent="0.3">
      <c r="A72" s="8" t="str">
        <f>Materiaaliparametrit!S1</f>
        <v>betoniulkosisäseinä</v>
      </c>
      <c r="B72" s="7" t="e" vm="4">
        <f ca="1">INDEX(Materiaaliparametrit!$D$2:$XX$200,MATCH(Materiaalilaskenta!$B$2,Materiaaliparametrit!$C$2:$C$200,0),MATCH(Materiaalilaskenta!$A72,Materiaaliparametrit!$D$1:$XX$1,0))</f>
        <v>#VALUE!</v>
      </c>
    </row>
    <row r="73" spans="1:2" x14ac:dyDescent="0.3">
      <c r="A73" s="5" t="str">
        <f>Materiaaliparametrit!T1</f>
        <v>betonikellariseinä</v>
      </c>
      <c r="B73" s="4" t="e" vm="4">
        <f ca="1">INDEX(Materiaaliparametrit!$D$2:$XX$200,MATCH(Materiaalilaskenta!$B$2,Materiaaliparametrit!$C$2:$C$200,0),MATCH(Materiaalilaskenta!$A73,Materiaaliparametrit!$D$1:$XX$1,0))</f>
        <v>#VALUE!</v>
      </c>
    </row>
    <row r="74" spans="1:2" x14ac:dyDescent="0.3">
      <c r="A74" s="8" t="str">
        <f>Materiaaliparametrit!U1</f>
        <v>puurunko</v>
      </c>
      <c r="B74" s="7" t="e" vm="4">
        <f ca="1">INDEX(Materiaaliparametrit!$D$2:$XX$200,MATCH(Materiaalilaskenta!$B$2,Materiaaliparametrit!$C$2:$C$200,0),MATCH(Materiaalilaskenta!$A74,Materiaaliparametrit!$D$1:$XX$1,0))</f>
        <v>#VALUE!</v>
      </c>
    </row>
    <row r="75" spans="1:2" x14ac:dyDescent="0.3">
      <c r="A75" s="5" t="str">
        <f>Materiaaliparametrit!V1</f>
        <v>puujulkisivu</v>
      </c>
      <c r="B75" s="4" t="e" vm="4">
        <f ca="1">INDEX(Materiaaliparametrit!$D$2:$XX$200,MATCH(Materiaalilaskenta!$B$2,Materiaaliparametrit!$C$2:$C$200,0),MATCH(Materiaalilaskenta!$A75,Materiaaliparametrit!$D$1:$XX$1,0))</f>
        <v>#VALUE!</v>
      </c>
    </row>
    <row r="76" spans="1:2" x14ac:dyDescent="0.3">
      <c r="A76" s="8" t="str">
        <f>Materiaaliparametrit!W1</f>
        <v>puualapohja</v>
      </c>
      <c r="B76" s="7" t="e" vm="4">
        <f ca="1">INDEX(Materiaaliparametrit!$D$2:$XX$200,MATCH(Materiaalilaskenta!$B$2,Materiaaliparametrit!$C$2:$C$200,0),MATCH(Materiaalilaskenta!$A76,Materiaaliparametrit!$D$1:$XX$1,0))</f>
        <v>#VALUE!</v>
      </c>
    </row>
    <row r="77" spans="1:2" x14ac:dyDescent="0.3">
      <c r="A77" s="5" t="str">
        <f>Materiaaliparametrit!X1</f>
        <v>puuvälipohja</v>
      </c>
      <c r="B77" s="4" t="e" vm="4">
        <f ca="1">INDEX(Materiaaliparametrit!$D$2:$XX$200,MATCH(Materiaalilaskenta!$B$2,Materiaaliparametrit!$C$2:$C$200,0),MATCH(Materiaalilaskenta!$A77,Materiaaliparametrit!$D$1:$XX$1,0))</f>
        <v>#VALUE!</v>
      </c>
    </row>
    <row r="78" spans="1:2" x14ac:dyDescent="0.3">
      <c r="A78" s="8" t="str">
        <f>Materiaaliparametrit!Y1</f>
        <v>puuyläpohja</v>
      </c>
      <c r="B78" s="7" t="e" vm="4">
        <f ca="1">INDEX(Materiaaliparametrit!$D$2:$XX$200,MATCH(Materiaalilaskenta!$B$2,Materiaaliparametrit!$C$2:$C$200,0),MATCH(Materiaalilaskenta!$A78,Materiaaliparametrit!$D$1:$XX$1,0))</f>
        <v>#VALUE!</v>
      </c>
    </row>
    <row r="79" spans="1:2" x14ac:dyDescent="0.3">
      <c r="A79" s="5" t="str">
        <f>Materiaaliparametrit!Z1</f>
        <v>puuväliseinä</v>
      </c>
      <c r="B79" s="4" t="e" vm="4">
        <f ca="1">INDEX(Materiaaliparametrit!$D$2:$XX$200,MATCH(Materiaalilaskenta!$B$2,Materiaaliparametrit!$C$2:$C$200,0),MATCH(Materiaalilaskenta!$A79,Materiaaliparametrit!$D$1:$XX$1,0))</f>
        <v>#VALUE!</v>
      </c>
    </row>
    <row r="80" spans="1:2" x14ac:dyDescent="0.3">
      <c r="A80" s="8" t="str">
        <f>Materiaaliparametrit!AA1</f>
        <v>puulattia</v>
      </c>
      <c r="B80" s="7" t="e" vm="4">
        <f ca="1">INDEX(Materiaaliparametrit!$D$2:$XX$200,MATCH(Materiaalilaskenta!$B$2,Materiaaliparametrit!$C$2:$C$200,0),MATCH(Materiaalilaskenta!$A80,Materiaaliparametrit!$D$1:$XX$1,0))</f>
        <v>#VALUE!</v>
      </c>
    </row>
    <row r="81" spans="1:2" x14ac:dyDescent="0.3">
      <c r="A81" s="5" t="str">
        <f>Materiaaliparametrit!AB1</f>
        <v>puusisäkatto</v>
      </c>
      <c r="B81" s="4" t="e" vm="4">
        <f ca="1">INDEX(Materiaaliparametrit!$D$2:$XX$200,MATCH(Materiaalilaskenta!$B$2,Materiaaliparametrit!$C$2:$C$200,0),MATCH(Materiaalilaskenta!$A81,Materiaaliparametrit!$D$1:$XX$1,0))</f>
        <v>#VALUE!</v>
      </c>
    </row>
    <row r="82" spans="1:2" x14ac:dyDescent="0.3">
      <c r="A82" s="8" t="str">
        <f>Materiaaliparametrit!AC1</f>
        <v>puuikkunat</v>
      </c>
      <c r="B82" s="7" t="e" vm="4">
        <f ca="1">INDEX(Materiaaliparametrit!$D$2:$XX$200,MATCH(Materiaalilaskenta!$B$2,Materiaaliparametrit!$C$2:$C$200,0),MATCH(Materiaalilaskenta!$A82,Materiaaliparametrit!$D$1:$XX$1,0))</f>
        <v>#VALUE!</v>
      </c>
    </row>
    <row r="83" spans="1:2" x14ac:dyDescent="0.3">
      <c r="A83" s="5" t="str">
        <f>Materiaaliparametrit!AD1</f>
        <v>puuovet</v>
      </c>
      <c r="B83" s="4" t="e" vm="4">
        <f ca="1">INDEX(Materiaaliparametrit!$D$2:$XX$200,MATCH(Materiaalilaskenta!$B$2,Materiaaliparametrit!$C$2:$C$200,0),MATCH(Materiaalilaskenta!$A83,Materiaaliparametrit!$D$1:$XX$1,0))</f>
        <v>#VALUE!</v>
      </c>
    </row>
    <row r="84" spans="1:2" x14ac:dyDescent="0.3">
      <c r="A84" s="8" t="str">
        <f>Materiaaliparametrit!AE1</f>
        <v>puusauna</v>
      </c>
      <c r="B84" s="7" t="e" vm="4">
        <f ca="1">INDEX(Materiaaliparametrit!$D$2:$XX$200,MATCH(Materiaalilaskenta!$B$2,Materiaaliparametrit!$C$2:$C$200,0),MATCH(Materiaalilaskenta!$A84,Materiaaliparametrit!$D$1:$XX$1,0))</f>
        <v>#VALUE!</v>
      </c>
    </row>
    <row r="85" spans="1:2" x14ac:dyDescent="0.3">
      <c r="A85" s="5" t="str">
        <f>Materiaaliparametrit!AF1</f>
        <v>puujalkalistat</v>
      </c>
      <c r="B85" s="4" t="e" vm="4">
        <f ca="1">INDEX(Materiaaliparametrit!$D$2:$XX$200,MATCH(Materiaalilaskenta!$B$2,Materiaaliparametrit!$C$2:$C$200,0),MATCH(Materiaalilaskenta!$A85,Materiaaliparametrit!$D$1:$XX$1,0))</f>
        <v>#VALUE!</v>
      </c>
    </row>
    <row r="86" spans="1:2" x14ac:dyDescent="0.3">
      <c r="A86" s="8" t="str">
        <f>Materiaaliparametrit!AG1</f>
        <v>puupeitelistat</v>
      </c>
      <c r="B86" s="7" t="e" vm="4">
        <f ca="1">INDEX(Materiaaliparametrit!$D$2:$XX$200,MATCH(Materiaalilaskenta!$B$2,Materiaaliparametrit!$C$2:$C$200,0),MATCH(Materiaalilaskenta!$A86,Materiaaliparametrit!$D$1:$XX$1,0))</f>
        <v>#VALUE!</v>
      </c>
    </row>
    <row r="87" spans="1:2" x14ac:dyDescent="0.3">
      <c r="A87" s="5" t="str">
        <f>Materiaaliparametrit!AH1</f>
        <v>puuporras</v>
      </c>
      <c r="B87" s="4" t="e" vm="4">
        <f ca="1">INDEX(Materiaaliparametrit!$D$2:$XX$200,MATCH(Materiaalilaskenta!$B$2,Materiaaliparametrit!$C$2:$C$200,0),MATCH(Materiaalilaskenta!$A87,Materiaaliparametrit!$D$1:$XX$1,0))</f>
        <v>#VALUE!</v>
      </c>
    </row>
    <row r="88" spans="1:2" x14ac:dyDescent="0.3">
      <c r="A88" s="8" t="str">
        <f>Materiaaliparametrit!AI1</f>
        <v>muoviviemäri</v>
      </c>
      <c r="B88" s="7" t="e" vm="4">
        <f ca="1">INDEX(Materiaaliparametrit!$D$2:$XX$200,MATCH(Materiaalilaskenta!$B$2,Materiaaliparametrit!$C$2:$C$200,0),MATCH(Materiaalilaskenta!$A88,Materiaaliparametrit!$D$1:$XX$1,0))</f>
        <v>#VALUE!</v>
      </c>
    </row>
    <row r="89" spans="1:2" x14ac:dyDescent="0.3">
      <c r="A89" s="5" t="str">
        <f>Materiaaliparametrit!AJ1</f>
        <v>muovikäyttövesi</v>
      </c>
      <c r="B89" s="4" t="e" vm="4">
        <f ca="1">INDEX(Materiaaliparametrit!$D$2:$XX$200,MATCH(Materiaalilaskenta!$B$2,Materiaaliparametrit!$C$2:$C$200,0),MATCH(Materiaalilaskenta!$A89,Materiaaliparametrit!$D$1:$XX$1,0))</f>
        <v>#VALUE!</v>
      </c>
    </row>
    <row r="90" spans="1:2" x14ac:dyDescent="0.3">
      <c r="A90" s="8" t="str">
        <f>Materiaaliparametrit!AK1</f>
        <v>muoviiv</v>
      </c>
      <c r="B90" s="7" t="e" vm="4">
        <f ca="1">INDEX(Materiaaliparametrit!$D$2:$XX$200,MATCH(Materiaalilaskenta!$B$2,Materiaaliparametrit!$C$2:$C$200,0),MATCH(Materiaalilaskenta!$A90,Materiaaliparametrit!$D$1:$XX$1,0))</f>
        <v>#VALUE!</v>
      </c>
    </row>
    <row r="91" spans="1:2" x14ac:dyDescent="0.3">
      <c r="A91" s="5" t="str">
        <f>Materiaaliparametrit!AL1</f>
        <v>muovikaivot</v>
      </c>
      <c r="B91" s="4" t="e" vm="4">
        <f ca="1">INDEX(Materiaaliparametrit!$D$2:$XX$200,MATCH(Materiaalilaskenta!$B$2,Materiaaliparametrit!$C$2:$C$200,0),MATCH(Materiaalilaskenta!$A91,Materiaaliparametrit!$D$1:$XX$1,0))</f>
        <v>#VALUE!</v>
      </c>
    </row>
    <row r="92" spans="1:2" x14ac:dyDescent="0.3">
      <c r="A92" s="8" t="str">
        <f>Materiaaliparametrit!AM1</f>
        <v>muovijohtotie</v>
      </c>
      <c r="B92" s="7" t="e" vm="4">
        <f ca="1">INDEX(Materiaaliparametrit!$D$2:$XX$200,MATCH(Materiaalilaskenta!$B$2,Materiaaliparametrit!$C$2:$C$200,0),MATCH(Materiaalilaskenta!$A92,Materiaaliparametrit!$D$1:$XX$1,0))</f>
        <v>#VALUE!</v>
      </c>
    </row>
    <row r="93" spans="1:2" x14ac:dyDescent="0.3">
      <c r="A93" s="5" t="str">
        <f>Materiaaliparametrit!AN1</f>
        <v>muoviasennuskaluste</v>
      </c>
      <c r="B93" s="4" t="e" vm="4">
        <f ca="1">INDEX(Materiaaliparametrit!$D$2:$XX$200,MATCH(Materiaalilaskenta!$B$2,Materiaaliparametrit!$C$2:$C$200,0),MATCH(Materiaalilaskenta!$A93,Materiaaliparametrit!$D$1:$XX$1,0))</f>
        <v>#VALUE!</v>
      </c>
    </row>
    <row r="94" spans="1:2" x14ac:dyDescent="0.3">
      <c r="A94" s="8" t="str">
        <f>Materiaaliparametrit!AO1</f>
        <v>muovijohdot</v>
      </c>
      <c r="B94" s="7" t="e" vm="4">
        <f ca="1">INDEX(Materiaaliparametrit!$D$2:$XX$200,MATCH(Materiaalilaskenta!$B$2,Materiaaliparametrit!$C$2:$C$200,0),MATCH(Materiaalilaskenta!$A94,Materiaaliparametrit!$D$1:$XX$1,0))</f>
        <v>#VALUE!</v>
      </c>
    </row>
    <row r="95" spans="1:2" x14ac:dyDescent="0.3">
      <c r="A95" s="5" t="str">
        <f>Materiaaliparametrit!AP1</f>
        <v>kuparijohdot</v>
      </c>
      <c r="B95" s="4" t="e" vm="4">
        <f ca="1">INDEX(Materiaaliparametrit!$D$2:$XX$200,MATCH(Materiaalilaskenta!$B$2,Materiaaliparametrit!$C$2:$C$200,0),MATCH(Materiaalilaskenta!$A95,Materiaaliparametrit!$D$1:$XX$1,0))</f>
        <v>#VALUE!</v>
      </c>
    </row>
    <row r="96" spans="1:2" x14ac:dyDescent="0.3">
      <c r="A96" s="8" t="str">
        <f>Materiaaliparametrit!AQ1</f>
        <v>metallikäyttövesi</v>
      </c>
      <c r="B96" s="7" t="e" vm="4">
        <f ca="1">INDEX(Materiaaliparametrit!$D$2:$XX$200,MATCH(Materiaalilaskenta!$B$2,Materiaaliparametrit!$C$2:$C$200,0),MATCH(Materiaalilaskenta!$A96,Materiaaliparametrit!$D$1:$XX$1,0))</f>
        <v>#VALUE!</v>
      </c>
    </row>
    <row r="97" spans="1:2" x14ac:dyDescent="0.3">
      <c r="A97" s="5" t="str">
        <f>Materiaaliparametrit!AR1</f>
        <v>metalliviemäri</v>
      </c>
      <c r="B97" s="4" t="e" vm="4">
        <f ca="1">INDEX(Materiaaliparametrit!$D$2:$XX$200,MATCH(Materiaalilaskenta!$B$2,Materiaaliparametrit!$C$2:$C$200,0),MATCH(Materiaalilaskenta!$A97,Materiaaliparametrit!$D$1:$XX$1,0))</f>
        <v>#VALUE!</v>
      </c>
    </row>
    <row r="98" spans="1:2" x14ac:dyDescent="0.3">
      <c r="A98" s="8" t="str">
        <f>Materiaaliparametrit!AS1</f>
        <v>routaeriste</v>
      </c>
      <c r="B98" s="7" t="e" vm="4">
        <f ca="1">INDEX(Materiaaliparametrit!$D$2:$XX$200,MATCH(Materiaalilaskenta!$B$2,Materiaaliparametrit!$C$2:$C$200,0),MATCH(Materiaalilaskenta!$A98,Materiaaliparametrit!$D$1:$XX$1,0))</f>
        <v>#VALUE!</v>
      </c>
    </row>
    <row r="99" spans="1:2" x14ac:dyDescent="0.3">
      <c r="A99" s="5" t="str">
        <f>Materiaaliparametrit!AT1</f>
        <v>sokkelieriste</v>
      </c>
      <c r="B99" s="4" t="e" vm="4">
        <f ca="1">INDEX(Materiaaliparametrit!$D$2:$XX$200,MATCH(Materiaalilaskenta!$B$2,Materiaaliparametrit!$C$2:$C$200,0),MATCH(Materiaalilaskenta!$A99,Materiaaliparametrit!$D$1:$XX$1,0))</f>
        <v>#VALUE!</v>
      </c>
    </row>
    <row r="100" spans="1:2" x14ac:dyDescent="0.3">
      <c r="A100" s="8" t="str">
        <f>Materiaaliparametrit!AU1</f>
        <v>välialapohjaeriste</v>
      </c>
      <c r="B100" s="7" t="e" vm="4">
        <f ca="1">INDEX(Materiaaliparametrit!$D$2:$XX$200,MATCH(Materiaalilaskenta!$B$2,Materiaaliparametrit!$C$2:$C$200,0),MATCH(Materiaalilaskenta!$A100,Materiaaliparametrit!$D$1:$XX$1,0))</f>
        <v>#VALUE!</v>
      </c>
    </row>
    <row r="101" spans="1:2" x14ac:dyDescent="0.3">
      <c r="A101" s="5" t="str">
        <f>Materiaaliparametrit!AV1</f>
        <v>ulkoyläpohjaeriste</v>
      </c>
      <c r="B101" s="4" t="e" vm="4">
        <f ca="1">INDEX(Materiaaliparametrit!$D$2:$XX$200,MATCH(Materiaalilaskenta!$B$2,Materiaaliparametrit!$C$2:$C$200,0),MATCH(Materiaalilaskenta!$A101,Materiaaliparametrit!$D$1:$XX$1,0))</f>
        <v>#VALUE!</v>
      </c>
    </row>
    <row r="102" spans="1:2" x14ac:dyDescent="0.3">
      <c r="A102" s="8" t="str">
        <f>Materiaaliparametrit!AW1</f>
        <v>eristemuovialapohja</v>
      </c>
      <c r="B102" s="7" t="e" vm="4">
        <f ca="1">INDEX(Materiaaliparametrit!$D$2:$XX$200,MATCH(Materiaalilaskenta!$B$2,Materiaaliparametrit!$C$2:$C$200,0),MATCH(Materiaalilaskenta!$A102,Materiaaliparametrit!$D$1:$XX$1,0))</f>
        <v>#VALUE!</v>
      </c>
    </row>
    <row r="103" spans="1:2" x14ac:dyDescent="0.3">
      <c r="A103" s="5" t="str">
        <f>Materiaaliparametrit!AX1</f>
        <v>eristemuoviperustus</v>
      </c>
      <c r="B103" s="4" t="e" vm="4">
        <f ca="1">INDEX(Materiaaliparametrit!$D$2:$XX$200,MATCH(Materiaalilaskenta!$B$2,Materiaaliparametrit!$C$2:$C$200,0),MATCH(Materiaalilaskenta!$A103,Materiaaliparametrit!$D$1:$XX$1,0))</f>
        <v>#VALUE!</v>
      </c>
    </row>
    <row r="104" spans="1:2" x14ac:dyDescent="0.3">
      <c r="A104" s="8" t="str">
        <f>Materiaaliparametrit!AY1</f>
        <v>eristemuoviulkoseinä</v>
      </c>
      <c r="B104" s="7" t="e" vm="4">
        <f ca="1">INDEX(Materiaaliparametrit!$D$2:$XX$200,MATCH(Materiaalilaskenta!$B$2,Materiaaliparametrit!$C$2:$C$200,0),MATCH(Materiaalilaskenta!$A104,Materiaaliparametrit!$D$1:$XX$1,0))</f>
        <v>#VALUE!</v>
      </c>
    </row>
    <row r="105" spans="1:2" x14ac:dyDescent="0.3">
      <c r="A105" s="5" t="str">
        <f>Materiaaliparametrit!AZ1</f>
        <v>eristemuoviyläpohja</v>
      </c>
      <c r="B105" s="4" t="e" vm="4">
        <f ca="1">INDEX(Materiaaliparametrit!$D$2:$XX$200,MATCH(Materiaalilaskenta!$B$2,Materiaaliparametrit!$C$2:$C$200,0),MATCH(Materiaalilaskenta!$A105,Materiaaliparametrit!$D$1:$XX$1,0))</f>
        <v>#VALUE!</v>
      </c>
    </row>
    <row r="106" spans="1:2" x14ac:dyDescent="0.3">
      <c r="A106" s="8" t="str">
        <f>Materiaaliparametrit!BA1</f>
        <v>eristemuovivälipohja</v>
      </c>
      <c r="B106" s="7" t="e" vm="4">
        <f ca="1">INDEX(Materiaaliparametrit!$D$2:$XX$200,MATCH(Materiaalilaskenta!$B$2,Materiaaliparametrit!$C$2:$C$200,0),MATCH(Materiaalilaskenta!$A106,Materiaaliparametrit!$D$1:$XX$1,0))</f>
        <v>#VALUE!</v>
      </c>
    </row>
    <row r="107" spans="1:2" x14ac:dyDescent="0.3">
      <c r="A107" s="5" t="str">
        <f>Materiaaliparametrit!BB1</f>
        <v>eristemuoviväliseinä</v>
      </c>
      <c r="B107" s="4" t="e" vm="4">
        <f ca="1">INDEX(Materiaaliparametrit!$D$2:$XX$200,MATCH(Materiaalilaskenta!$B$2,Materiaaliparametrit!$C$2:$C$200,0),MATCH(Materiaalilaskenta!$A107,Materiaaliparametrit!$D$1:$XX$1,0))</f>
        <v>#VALUE!</v>
      </c>
    </row>
    <row r="108" spans="1:2" x14ac:dyDescent="0.3">
      <c r="A108" s="8" t="str">
        <f>Materiaaliparametrit!BB1</f>
        <v>eristemuoviväliseinä</v>
      </c>
      <c r="B108" s="7" t="e" vm="4">
        <f ca="1">INDEX(Materiaaliparametrit!$D$2:$XX$200,MATCH(Materiaalilaskenta!$B$2,Materiaaliparametrit!$C$2:$C$200,0),MATCH(Materiaalilaskenta!$A108,Materiaaliparametrit!$D$1:$XX$1,0))</f>
        <v>#VALUE!</v>
      </c>
    </row>
    <row r="109" spans="1:2" x14ac:dyDescent="0.3">
      <c r="A109" s="5" t="str">
        <f>Materiaaliparametrit!BC1</f>
        <v>eristevillaalapohja</v>
      </c>
      <c r="B109" s="4" t="e" vm="4">
        <f ca="1">INDEX(Materiaaliparametrit!$D$2:$XX$200,MATCH(Materiaalilaskenta!$B$2,Materiaaliparametrit!$C$2:$C$200,0),MATCH(Materiaalilaskenta!$A109,Materiaaliparametrit!$D$1:$XX$1,0))</f>
        <v>#VALUE!</v>
      </c>
    </row>
    <row r="110" spans="1:2" x14ac:dyDescent="0.3">
      <c r="A110" s="8" t="str">
        <f>Materiaaliparametrit!BD1</f>
        <v>eristevillaperustus</v>
      </c>
      <c r="B110" s="7" t="e" vm="4">
        <f ca="1">INDEX(Materiaaliparametrit!$D$2:$XX$200,MATCH(Materiaalilaskenta!$B$2,Materiaaliparametrit!$C$2:$C$200,0),MATCH(Materiaalilaskenta!$A110,Materiaaliparametrit!$D$1:$XX$1,0))</f>
        <v>#VALUE!</v>
      </c>
    </row>
    <row r="111" spans="1:2" x14ac:dyDescent="0.3">
      <c r="A111" s="5" t="str">
        <f>Materiaaliparametrit!BE1</f>
        <v>eristevillaulkoseinä</v>
      </c>
      <c r="B111" s="4" t="e" vm="4">
        <f ca="1">INDEX(Materiaaliparametrit!$D$2:$XX$200,MATCH(Materiaalilaskenta!$B$2,Materiaaliparametrit!$C$2:$C$200,0),MATCH(Materiaalilaskenta!$A111,Materiaaliparametrit!$D$1:$XX$1,0))</f>
        <v>#VALUE!</v>
      </c>
    </row>
    <row r="112" spans="1:2" x14ac:dyDescent="0.3">
      <c r="A112" s="8" t="str">
        <f>Materiaaliparametrit!BF1</f>
        <v>eristevillayläpohja</v>
      </c>
      <c r="B112" s="7" t="e" vm="4">
        <f ca="1">INDEX(Materiaaliparametrit!$D$2:$XX$200,MATCH(Materiaalilaskenta!$B$2,Materiaaliparametrit!$C$2:$C$200,0),MATCH(Materiaalilaskenta!$A112,Materiaaliparametrit!$D$1:$XX$1,0))</f>
        <v>#VALUE!</v>
      </c>
    </row>
    <row r="113" spans="1:2" x14ac:dyDescent="0.3">
      <c r="A113" s="5" t="str">
        <f>Materiaaliparametrit!BG1</f>
        <v>eristevillavälipohja</v>
      </c>
      <c r="B113" s="4" t="e" vm="4">
        <f ca="1">INDEX(Materiaaliparametrit!$D$2:$XX$200,MATCH(Materiaalilaskenta!$B$2,Materiaaliparametrit!$C$2:$C$200,0),MATCH(Materiaalilaskenta!$A113,Materiaaliparametrit!$D$1:$XX$1,0))</f>
        <v>#VALUE!</v>
      </c>
    </row>
    <row r="114" spans="1:2" x14ac:dyDescent="0.3">
      <c r="A114" s="8" t="str">
        <f>Materiaaliparametrit!BH1</f>
        <v>eristevillaväliseinä</v>
      </c>
      <c r="B114" s="7" t="e" vm="4">
        <f ca="1">INDEX(Materiaaliparametrit!$D$2:$XX$200,MATCH(Materiaalilaskenta!$B$2,Materiaaliparametrit!$C$2:$C$200,0),MATCH(Materiaalilaskenta!$A114,Materiaaliparametrit!$D$1:$XX$1,0))</f>
        <v>#VALUE!</v>
      </c>
    </row>
    <row r="115" spans="1:2" x14ac:dyDescent="0.3">
      <c r="A115" s="5" t="str">
        <f>Materiaaliparametrit!BI1</f>
        <v>eristesellualapohja</v>
      </c>
      <c r="B115" s="4" t="e" vm="4">
        <f ca="1">INDEX(Materiaaliparametrit!$D$2:$XX$200,MATCH(Materiaalilaskenta!$B$2,Materiaaliparametrit!$C$2:$C$200,0),MATCH(Materiaalilaskenta!$A115,Materiaaliparametrit!$D$1:$XX$1,0))</f>
        <v>#VALUE!</v>
      </c>
    </row>
    <row r="116" spans="1:2" x14ac:dyDescent="0.3">
      <c r="A116" s="8" t="str">
        <f>Materiaaliparametrit!BJ1</f>
        <v>eristeselluperustus</v>
      </c>
      <c r="B116" s="7" t="e" vm="4">
        <f ca="1">INDEX(Materiaaliparametrit!$D$2:$XX$200,MATCH(Materiaalilaskenta!$B$2,Materiaaliparametrit!$C$2:$C$200,0),MATCH(Materiaalilaskenta!$A116,Materiaaliparametrit!$D$1:$XX$1,0))</f>
        <v>#VALUE!</v>
      </c>
    </row>
    <row r="117" spans="1:2" x14ac:dyDescent="0.3">
      <c r="A117" s="5" t="str">
        <f>Materiaaliparametrit!BK1</f>
        <v>eristeselluulkoseinä</v>
      </c>
      <c r="B117" s="4" t="e" vm="4">
        <f ca="1">INDEX(Materiaaliparametrit!$D$2:$XX$200,MATCH(Materiaalilaskenta!$B$2,Materiaaliparametrit!$C$2:$C$200,0),MATCH(Materiaalilaskenta!$A117,Materiaaliparametrit!$D$1:$XX$1,0))</f>
        <v>#VALUE!</v>
      </c>
    </row>
    <row r="118" spans="1:2" x14ac:dyDescent="0.3">
      <c r="A118" s="8" t="str">
        <f>Materiaaliparametrit!BL1</f>
        <v>eristeselluyläpohja</v>
      </c>
      <c r="B118" s="7" t="e" vm="4">
        <f ca="1">INDEX(Materiaaliparametrit!$D$2:$XX$200,MATCH(Materiaalilaskenta!$B$2,Materiaaliparametrit!$C$2:$C$200,0),MATCH(Materiaalilaskenta!$A118,Materiaaliparametrit!$D$1:$XX$1,0))</f>
        <v>#VALUE!</v>
      </c>
    </row>
    <row r="119" spans="1:2" x14ac:dyDescent="0.3">
      <c r="A119" s="5" t="str">
        <f>Materiaaliparametrit!BM1</f>
        <v>eristeselluvälipohja</v>
      </c>
      <c r="B119" s="4" t="e" vm="4">
        <f ca="1">INDEX(Materiaaliparametrit!$D$2:$XX$200,MATCH(Materiaalilaskenta!$B$2,Materiaaliparametrit!$C$2:$C$200,0),MATCH(Materiaalilaskenta!$A119,Materiaaliparametrit!$D$1:$XX$1,0))</f>
        <v>#VALUE!</v>
      </c>
    </row>
    <row r="120" spans="1:2" x14ac:dyDescent="0.3">
      <c r="A120" s="8" t="str">
        <f>Materiaaliparametrit!BN1</f>
        <v>eristeselluväliseinä</v>
      </c>
      <c r="B120" s="7" t="e" vm="4">
        <f ca="1">INDEX(Materiaaliparametrit!$D$2:$XX$200,MATCH(Materiaalilaskenta!$B$2,Materiaaliparametrit!$C$2:$C$200,0),MATCH(Materiaalilaskenta!$A120,Materiaaliparametrit!$D$1:$XX$1,0))</f>
        <v>#VALUE!</v>
      </c>
    </row>
    <row r="121" spans="1:2" x14ac:dyDescent="0.3">
      <c r="A121" s="5" t="str">
        <f>Materiaaliparametrit!BN1</f>
        <v>eristeselluväliseinä</v>
      </c>
      <c r="B121" s="4" t="e" vm="4">
        <f ca="1">INDEX(Materiaaliparametrit!$D$2:$XX$200,MATCH(Materiaalilaskenta!$B$2,Materiaaliparametrit!$C$2:$C$200,0),MATCH(Materiaalilaskenta!$A121,Materiaaliparametrit!$D$1:$XX$1,0))</f>
        <v>#VALUE!</v>
      </c>
    </row>
    <row r="122" spans="1:2" x14ac:dyDescent="0.3">
      <c r="A122" s="8" t="str">
        <f>Materiaaliparametrit!BO1</f>
        <v>eristemuutalapohja</v>
      </c>
      <c r="B122" s="7" t="e" vm="4">
        <f ca="1">INDEX(Materiaaliparametrit!$D$2:$XX$200,MATCH(Materiaalilaskenta!$B$2,Materiaaliparametrit!$C$2:$C$200,0),MATCH(Materiaalilaskenta!$A122,Materiaaliparametrit!$D$1:$XX$1,0))</f>
        <v>#VALUE!</v>
      </c>
    </row>
    <row r="123" spans="1:2" x14ac:dyDescent="0.3">
      <c r="A123" s="5" t="str">
        <f>Materiaaliparametrit!BP1</f>
        <v>eristemuutperustus</v>
      </c>
      <c r="B123" s="4" t="e" vm="4">
        <f ca="1">INDEX(Materiaaliparametrit!$D$2:$XX$200,MATCH(Materiaalilaskenta!$B$2,Materiaaliparametrit!$C$2:$C$200,0),MATCH(Materiaalilaskenta!$A123,Materiaaliparametrit!$D$1:$XX$1,0))</f>
        <v>#VALUE!</v>
      </c>
    </row>
    <row r="124" spans="1:2" x14ac:dyDescent="0.3">
      <c r="A124" s="8" t="str">
        <f>Materiaaliparametrit!BQ1</f>
        <v>eristemuutulkoseinä</v>
      </c>
      <c r="B124" s="7" t="e" vm="4">
        <f ca="1">INDEX(Materiaaliparametrit!$D$2:$XX$200,MATCH(Materiaalilaskenta!$B$2,Materiaaliparametrit!$C$2:$C$200,0),MATCH(Materiaalilaskenta!$A124,Materiaaliparametrit!$D$1:$XX$1,0))</f>
        <v>#VALUE!</v>
      </c>
    </row>
    <row r="125" spans="1:2" x14ac:dyDescent="0.3">
      <c r="A125" s="5" t="str">
        <f>Materiaaliparametrit!BR1</f>
        <v>eristemuutyläpohja</v>
      </c>
      <c r="B125" s="4" t="e" vm="4">
        <f ca="1">INDEX(Materiaaliparametrit!$D$2:$XX$200,MATCH(Materiaalilaskenta!$B$2,Materiaaliparametrit!$C$2:$C$200,0),MATCH(Materiaalilaskenta!$A125,Materiaaliparametrit!$D$1:$XX$1,0))</f>
        <v>#VALUE!</v>
      </c>
    </row>
    <row r="126" spans="1:2" x14ac:dyDescent="0.3">
      <c r="A126" s="8" t="str">
        <f>Materiaaliparametrit!BS1</f>
        <v>eristemuutvälipohja</v>
      </c>
      <c r="B126" s="7" t="e" vm="4">
        <f ca="1">INDEX(Materiaaliparametrit!$D$2:$XX$200,MATCH(Materiaalilaskenta!$B$2,Materiaaliparametrit!$C$2:$C$200,0),MATCH(Materiaalilaskenta!$A126,Materiaaliparametrit!$D$1:$XX$1,0))</f>
        <v>#VALUE!</v>
      </c>
    </row>
    <row r="127" spans="1:2" x14ac:dyDescent="0.3">
      <c r="A127" s="5" t="str">
        <f>Materiaaliparametrit!BT1</f>
        <v>eristemuutväliseinä</v>
      </c>
      <c r="B127" s="4" t="e" vm="4">
        <f ca="1">INDEX(Materiaaliparametrit!$D$2:$XX$200,MATCH(Materiaalilaskenta!$B$2,Materiaaliparametrit!$C$2:$C$200,0),MATCH(Materiaalilaskenta!$A127,Materiaaliparametrit!$D$1:$XX$1,0))</f>
        <v>#VALUE!</v>
      </c>
    </row>
    <row r="128" spans="1:2" x14ac:dyDescent="0.3">
      <c r="A128" s="8" t="str">
        <f>Materiaaliparametrit!BU1</f>
        <v>betonisokkeli</v>
      </c>
      <c r="B128" s="7" t="e" vm="4">
        <f ca="1">INDEX(Materiaaliparametrit!$D$2:$XX$200,MATCH(Materiaalilaskenta!$B$2,Materiaaliparametrit!$C$2:$C$200,0),MATCH(Materiaalilaskenta!$A128,Materiaaliparametrit!$D$1:$XX$1,0))</f>
        <v>#VALUE!</v>
      </c>
    </row>
    <row r="129" spans="1:2" x14ac:dyDescent="0.3">
      <c r="A129" s="5" t="str">
        <f>Materiaaliparametrit!BV1</f>
        <v>höyrynsulku</v>
      </c>
      <c r="B129" s="4" t="e" vm="4">
        <f ca="1">INDEX(Materiaaliparametrit!$D$2:$XX$200,MATCH(Materiaalilaskenta!$B$2,Materiaaliparametrit!$C$2:$C$200,0),MATCH(Materiaalilaskenta!$A129,Materiaaliparametrit!$D$1:$XX$1,0))</f>
        <v>#VALUE!</v>
      </c>
    </row>
    <row r="130" spans="1:2" x14ac:dyDescent="0.3">
      <c r="A130" s="8" t="str">
        <f>Materiaaliparametrit!BW1</f>
        <v>tuulensuoja</v>
      </c>
      <c r="B130" s="7" t="e" vm="4">
        <f ca="1">INDEX(Materiaaliparametrit!$D$2:$XX$200,MATCH(Materiaalilaskenta!$B$2,Materiaaliparametrit!$C$2:$C$200,0),MATCH(Materiaalilaskenta!$A130,Materiaaliparametrit!$D$1:$XX$1,0))</f>
        <v>#VALUE!</v>
      </c>
    </row>
    <row r="131" spans="1:2" x14ac:dyDescent="0.3">
      <c r="A131" s="5" t="str">
        <f>Materiaaliparametrit!BX1</f>
        <v>ilmastointiputket</v>
      </c>
      <c r="B131" s="4" t="e" vm="4">
        <f ca="1">INDEX(Materiaaliparametrit!$D$2:$XX$200,MATCH(Materiaalilaskenta!$B$2,Materiaaliparametrit!$C$2:$C$200,0),MATCH(Materiaalilaskenta!$A131,Materiaaliparametrit!$D$1:$XX$1,0))</f>
        <v>#VALUE!</v>
      </c>
    </row>
    <row r="132" spans="1:2" x14ac:dyDescent="0.3">
      <c r="A132" s="8">
        <f>Materiaaliparametrit!BY1</f>
        <v>0</v>
      </c>
      <c r="B132" s="7" t="e" vm="4">
        <f ca="1">INDEX(Materiaaliparametrit!$D$2:$XX$200,MATCH(Materiaalilaskenta!$B$2,Materiaaliparametrit!$C$2:$C$200,0),MATCH(Materiaalilaskenta!$A132,Materiaaliparametrit!$D$1:$XX$1,0))</f>
        <v>#VALUE!</v>
      </c>
    </row>
    <row r="133" spans="1:2" x14ac:dyDescent="0.3">
      <c r="A133" s="5">
        <f>Materiaaliparametrit!BZ1</f>
        <v>0</v>
      </c>
      <c r="B133" s="4" t="e" vm="4">
        <f ca="1">INDEX(Materiaaliparametrit!$D$2:$XX$200,MATCH(Materiaalilaskenta!$B$2,Materiaaliparametrit!$C$2:$C$200,0),MATCH(Materiaalilaskenta!$A133,Materiaaliparametrit!$D$1:$XX$1,0))</f>
        <v>#VALUE!</v>
      </c>
    </row>
    <row r="134" spans="1:2" x14ac:dyDescent="0.3">
      <c r="A134" s="8">
        <f>Materiaaliparametrit!CA1</f>
        <v>0</v>
      </c>
      <c r="B134" s="7" t="e" vm="4">
        <f ca="1">INDEX(Materiaaliparametrit!$D$2:$XX$200,MATCH(Materiaalilaskenta!$B$2,Materiaaliparametrit!$C$2:$C$200,0),MATCH(Materiaalilaskenta!$A134,Materiaaliparametrit!$D$1:$XX$1,0))</f>
        <v>#VALUE!</v>
      </c>
    </row>
    <row r="137" spans="1:2" x14ac:dyDescent="0.3">
      <c r="A137" s="2" t="s">
        <v>189</v>
      </c>
      <c r="B137" s="1" t="s">
        <v>32</v>
      </c>
    </row>
    <row r="138" spans="1:2" x14ac:dyDescent="0.3">
      <c r="A138" s="5" t="s">
        <v>6</v>
      </c>
      <c r="B138" s="65" t="e" vm="4">
        <f ca="1">SUM($B$155:$B$174)*(1-B153)</f>
        <v>#VALUE!</v>
      </c>
    </row>
    <row r="139" spans="1:2" x14ac:dyDescent="0.3">
      <c r="A139" s="8" t="s">
        <v>70</v>
      </c>
      <c r="B139" s="71" t="e" vm="4">
        <f ca="1">SUM($E$155:$E$174)</f>
        <v>#VALUE!</v>
      </c>
    </row>
    <row r="140" spans="1:2" x14ac:dyDescent="0.3">
      <c r="A140" s="5" t="s">
        <v>82</v>
      </c>
      <c r="B140" s="65" t="e" vm="4">
        <f ca="1">SUM($H$155:$H$174)</f>
        <v>#VALUE!</v>
      </c>
    </row>
    <row r="141" spans="1:2" x14ac:dyDescent="0.3">
      <c r="A141" s="8" t="s">
        <v>77</v>
      </c>
      <c r="B141" s="71">
        <f>SUM($K$155:$K$174)</f>
        <v>0</v>
      </c>
    </row>
    <row r="142" spans="1:2" x14ac:dyDescent="0.3">
      <c r="A142" s="5" t="s">
        <v>83</v>
      </c>
      <c r="B142" s="65">
        <f>SUM($N$155:$N$174)</f>
        <v>0</v>
      </c>
    </row>
    <row r="143" spans="1:2" x14ac:dyDescent="0.3">
      <c r="A143" s="8" t="s">
        <v>84</v>
      </c>
      <c r="B143" s="71" t="e" vm="4">
        <f ca="1">SUM($Q$155:$Q$174)</f>
        <v>#VALUE!</v>
      </c>
    </row>
    <row r="144" spans="1:2" x14ac:dyDescent="0.3">
      <c r="A144" s="5" t="s">
        <v>85</v>
      </c>
      <c r="B144" s="65" t="e" vm="4">
        <f ca="1">SUM($T$155:$T$174)</f>
        <v>#VALUE!</v>
      </c>
    </row>
    <row r="145" spans="1:38" x14ac:dyDescent="0.3">
      <c r="A145" s="8" t="s">
        <v>78</v>
      </c>
      <c r="B145" s="71" t="e" vm="4">
        <f ca="1">SUM($W$155:$W$174)</f>
        <v>#VALUE!</v>
      </c>
    </row>
    <row r="146" spans="1:38" x14ac:dyDescent="0.3">
      <c r="A146" s="5" t="s">
        <v>72</v>
      </c>
      <c r="B146" s="65" t="e" vm="4">
        <f ca="1">SUM($Z$155:$Z$174)</f>
        <v>#VALUE!</v>
      </c>
    </row>
    <row r="147" spans="1:38" x14ac:dyDescent="0.3">
      <c r="A147" s="8" t="s">
        <v>139</v>
      </c>
      <c r="B147" s="71" t="e" vm="4">
        <f ca="1">SUM($AC$155:$AC$174)</f>
        <v>#VALUE!</v>
      </c>
    </row>
    <row r="148" spans="1:38" x14ac:dyDescent="0.3">
      <c r="A148" s="5" t="s">
        <v>79</v>
      </c>
      <c r="B148" s="65" t="e" vm="4">
        <f ca="1">SUM($AF$155:$AF$174)</f>
        <v>#VALUE!</v>
      </c>
    </row>
    <row r="149" spans="1:38" x14ac:dyDescent="0.3">
      <c r="A149" s="8" t="s">
        <v>86</v>
      </c>
      <c r="B149" s="71">
        <f>IF(K=0,0,SUM(AI155:AI174))</f>
        <v>0</v>
      </c>
    </row>
    <row r="150" spans="1:38" x14ac:dyDescent="0.3">
      <c r="A150" s="5" t="s">
        <v>87</v>
      </c>
      <c r="B150" s="65" t="e" vm="4">
        <f ca="1">SUM($AL$155:$AL$174)</f>
        <v>#VALUE!</v>
      </c>
    </row>
    <row r="153" spans="1:38" ht="18" thickBot="1" x14ac:dyDescent="0.4">
      <c r="A153" s="10" t="s">
        <v>6</v>
      </c>
      <c r="B153" s="115" t="e" cm="1" vm="2">
        <f t="array" aca="1" ref="B153" ca="1">INDEX(Apu!$F$3:$F$24,Tiedot!$B$8,1)</f>
        <v>#VALUE!</v>
      </c>
      <c r="D153" s="10" t="s">
        <v>70</v>
      </c>
      <c r="G153" s="10" t="s">
        <v>82</v>
      </c>
      <c r="J153" s="10" t="s">
        <v>77</v>
      </c>
      <c r="M153" s="10" t="s">
        <v>83</v>
      </c>
      <c r="P153" s="10" t="s">
        <v>84</v>
      </c>
      <c r="S153" s="10" t="s">
        <v>85</v>
      </c>
      <c r="V153" s="10" t="s">
        <v>78</v>
      </c>
      <c r="Y153" s="10" t="s">
        <v>72</v>
      </c>
      <c r="AB153" s="10" t="s">
        <v>139</v>
      </c>
      <c r="AE153" s="10" t="s">
        <v>79</v>
      </c>
      <c r="AH153" s="10" t="s">
        <v>86</v>
      </c>
      <c r="AK153" s="10" t="s">
        <v>87</v>
      </c>
    </row>
    <row r="154" spans="1:38" ht="15" thickTop="1" x14ac:dyDescent="0.3">
      <c r="A154" s="2" t="s">
        <v>16</v>
      </c>
      <c r="B154" s="2" t="s">
        <v>191</v>
      </c>
      <c r="D154" s="2" t="s">
        <v>16</v>
      </c>
      <c r="E154" s="2" t="s">
        <v>191</v>
      </c>
      <c r="G154" s="2" t="s">
        <v>16</v>
      </c>
      <c r="H154" s="2" t="s">
        <v>191</v>
      </c>
      <c r="J154" s="2" t="s">
        <v>16</v>
      </c>
      <c r="K154" s="2" t="s">
        <v>191</v>
      </c>
      <c r="M154" s="2" t="s">
        <v>16</v>
      </c>
      <c r="N154" s="2" t="s">
        <v>191</v>
      </c>
      <c r="P154" s="2" t="s">
        <v>16</v>
      </c>
      <c r="Q154" s="2" t="s">
        <v>191</v>
      </c>
      <c r="S154" s="2" t="s">
        <v>16</v>
      </c>
      <c r="T154" s="2" t="s">
        <v>191</v>
      </c>
      <c r="V154" s="2" t="s">
        <v>16</v>
      </c>
      <c r="W154" s="2" t="s">
        <v>191</v>
      </c>
      <c r="Y154" s="2" t="s">
        <v>16</v>
      </c>
      <c r="Z154" s="2" t="s">
        <v>191</v>
      </c>
      <c r="AB154" s="2" t="s">
        <v>16</v>
      </c>
      <c r="AC154" s="2" t="s">
        <v>191</v>
      </c>
      <c r="AE154" s="2" t="s">
        <v>16</v>
      </c>
      <c r="AF154" s="2" t="s">
        <v>191</v>
      </c>
      <c r="AH154" s="2" t="s">
        <v>16</v>
      </c>
      <c r="AI154" s="2" t="s">
        <v>191</v>
      </c>
      <c r="AK154" s="2" t="s">
        <v>16</v>
      </c>
      <c r="AL154" s="2" t="s">
        <v>191</v>
      </c>
    </row>
    <row r="155" spans="1:38" x14ac:dyDescent="0.3">
      <c r="A155" s="5" t="s">
        <v>249</v>
      </c>
      <c r="B155" s="106">
        <f>IF(Runko1=4,$B$66*RunkoAla1,0)+IF(Runko2=4,$B$66*RunkoAla2,0)</f>
        <v>0</v>
      </c>
      <c r="D155" s="5" t="s">
        <v>193</v>
      </c>
      <c r="E155" s="106">
        <f>IF(Runko1=3,240*RunkoAla1,0)+IF(Runko2=3,240*RunkoAla2,0)</f>
        <v>0</v>
      </c>
      <c r="G155" s="5" t="s">
        <v>205</v>
      </c>
      <c r="H155" s="106" t="e" vm="4">
        <f ca="1">$B$64*V</f>
        <v>#VALUE!</v>
      </c>
      <c r="J155" s="5" t="s">
        <v>77</v>
      </c>
      <c r="K155" s="106">
        <f>AsfalttiAla*100</f>
        <v>0</v>
      </c>
      <c r="M155" s="5"/>
      <c r="N155" s="106"/>
      <c r="P155" s="5" t="s">
        <v>206</v>
      </c>
      <c r="Q155" s="106" t="e" vm="4">
        <f ca="1">IF(Runko1=4,0,RunkoAla1*$B$59)+IF(Runko2=4,0,RunkoAla2*$B$59)</f>
        <v>#VALUE!</v>
      </c>
      <c r="S155" s="5" t="s">
        <v>195</v>
      </c>
      <c r="T155" s="106">
        <f>IF(Runko1=2,144*RunkoAla1,0)+IF(Runko2=2,144*RunkoAla2,0)</f>
        <v>0</v>
      </c>
      <c r="V155" s="5" t="s">
        <v>271</v>
      </c>
      <c r="W155" s="106">
        <f>IF(Runko1=5,16*RunkoAla1,0)+IF(Runko2=5,16*RunkoAla2,0)</f>
        <v>0</v>
      </c>
      <c r="Y155" s="5" t="s">
        <v>211</v>
      </c>
      <c r="Z155" s="106" t="e" vm="4">
        <f ca="1">IkkunaAla*$B$65</f>
        <v>#VALUE!</v>
      </c>
      <c r="AB155" s="5" t="s">
        <v>276</v>
      </c>
      <c r="AC155" s="106" t="e" vm="4">
        <f ca="1">$B$88*K</f>
        <v>#VALUE!</v>
      </c>
      <c r="AE155" s="5" t="s">
        <v>339</v>
      </c>
      <c r="AF155" s="106" t="e" vm="4">
        <f ca="1">IF(OR(Runko1=2,Runko2=2),0,$B$102*(0.5*PohjaPiiri+PohjaAla))</f>
        <v>#VALUE!</v>
      </c>
      <c r="AH155" s="5" t="s">
        <v>357</v>
      </c>
      <c r="AI155" s="106">
        <v>30</v>
      </c>
      <c r="AK155" s="5" t="s">
        <v>377</v>
      </c>
      <c r="AL155" s="106" t="e" vm="4">
        <f ca="1">0.5*V</f>
        <v>#VALUE!</v>
      </c>
    </row>
    <row r="156" spans="1:38" x14ac:dyDescent="0.3">
      <c r="A156" s="8" t="s">
        <v>250</v>
      </c>
      <c r="B156" s="107">
        <f>IF(OR(Runko1=4,Runko2=4),IF(Julkisivu1=3,$B$67*JulkisivuAla1,0)+IF(Julkisivu2=3,$B$67*JulkisivuAla2,0),0)</f>
        <v>0</v>
      </c>
      <c r="D156" s="8" t="s">
        <v>194</v>
      </c>
      <c r="E156" s="107">
        <f>IF(Runko1=6,220*RunkoAla1,0)+IF(Runko2=6,220*RunkoAla2,0)</f>
        <v>0</v>
      </c>
      <c r="G156" s="8" t="s">
        <v>292</v>
      </c>
      <c r="H156" s="107">
        <f>IF(B24=1,MIN(MAX(150,100+K*2),700),0)</f>
        <v>0</v>
      </c>
      <c r="J156" s="8"/>
      <c r="K156" s="107"/>
      <c r="M156" s="8" t="s">
        <v>198</v>
      </c>
      <c r="N156" s="107">
        <f>IF(Kattomateriaali=3,$B$58*KattoAla,0)</f>
        <v>0</v>
      </c>
      <c r="P156" s="8" t="s">
        <v>207</v>
      </c>
      <c r="Q156" s="107" t="e" vm="4">
        <f ca="1">VäliseinäAla*$B$60</f>
        <v>#VALUE!</v>
      </c>
      <c r="S156" s="8" t="s">
        <v>196</v>
      </c>
      <c r="T156" s="107">
        <f>IF(Runko1=1,$B$74*RunkoAla1,0)+IF(Runko2=1,$B$74*RunkoAla2,0)</f>
        <v>0</v>
      </c>
      <c r="V156" s="8" t="s">
        <v>272</v>
      </c>
      <c r="W156" s="107" t="e" vm="4">
        <f ca="1">B95*K</f>
        <v>#VALUE!</v>
      </c>
      <c r="Y156" s="8"/>
      <c r="Z156" s="107"/>
      <c r="AB156" s="8" t="s">
        <v>277</v>
      </c>
      <c r="AC156" s="107" t="e" vm="4">
        <f ca="1">$B$89*K</f>
        <v>#VALUE!</v>
      </c>
      <c r="AE156" s="8" t="s">
        <v>340</v>
      </c>
      <c r="AF156" s="107" t="e" vm="4">
        <f ca="1">$B$103*PohjaPiiri</f>
        <v>#VALUE!</v>
      </c>
      <c r="AH156" s="8" t="s">
        <v>290</v>
      </c>
      <c r="AI156" s="107">
        <f>IF(B22=1,MIN(0.016*65*K,35),0)</f>
        <v>0</v>
      </c>
      <c r="AK156" s="8" t="s">
        <v>197</v>
      </c>
      <c r="AL156" s="107" t="e" vm="4">
        <f ca="1">PohjaPiiri*$B$57</f>
        <v>#VALUE!</v>
      </c>
    </row>
    <row r="157" spans="1:38" x14ac:dyDescent="0.3">
      <c r="A157" s="57" t="s">
        <v>251</v>
      </c>
      <c r="B157" s="72" t="e" vm="4">
        <f ca="1">B128*PohjaPiiri</f>
        <v>#VALUE!</v>
      </c>
      <c r="D157" s="5" t="s">
        <v>257</v>
      </c>
      <c r="E157" s="106" t="e" vm="4">
        <f ca="1">0.2*180*VäliseinäAla</f>
        <v>#VALUE!</v>
      </c>
      <c r="G157" s="5"/>
      <c r="H157" s="106"/>
      <c r="J157" s="5"/>
      <c r="K157" s="106"/>
      <c r="M157" s="5"/>
      <c r="N157" s="106"/>
      <c r="P157" s="5" t="s">
        <v>208</v>
      </c>
      <c r="Q157" s="106" t="e" vm="4">
        <f ca="1">VälipohjaAla*$B$61</f>
        <v>#VALUE!</v>
      </c>
      <c r="S157" s="5" t="s">
        <v>259</v>
      </c>
      <c r="T157" s="106">
        <f>IF(Julkisivu1=1,$B$75*JulkisivuAla1,0)+IF(Julkisivu2=1,$B$75*JulkisivuAla2,0)</f>
        <v>0</v>
      </c>
      <c r="V157" s="5" t="s">
        <v>273</v>
      </c>
      <c r="W157" s="106" t="e" vm="4">
        <f ca="1">B96*K</f>
        <v>#VALUE!</v>
      </c>
      <c r="Y157" s="5"/>
      <c r="Z157" s="106"/>
      <c r="AB157" s="5" t="s">
        <v>278</v>
      </c>
      <c r="AC157" s="106" t="e" vm="4">
        <f ca="1">$B$90*K</f>
        <v>#VALUE!</v>
      </c>
      <c r="AE157" s="5" t="s">
        <v>341</v>
      </c>
      <c r="AF157" s="106" t="e" vm="4">
        <f ca="1">IF(OR(Runko1=2,Runko2=2),0,$B$104*JulkisivuAla)</f>
        <v>#VALUE!</v>
      </c>
      <c r="AH157" s="5" t="s">
        <v>358</v>
      </c>
      <c r="AI157" s="106">
        <v>50</v>
      </c>
      <c r="AK157" s="5"/>
      <c r="AL157" s="106"/>
    </row>
    <row r="158" spans="1:38" x14ac:dyDescent="0.3">
      <c r="A158" s="8" t="s">
        <v>252</v>
      </c>
      <c r="B158" s="107" t="e" vm="4">
        <f ca="1">$B$68*PohjaPiiri</f>
        <v>#VALUE!</v>
      </c>
      <c r="D158" s="8" t="s">
        <v>362</v>
      </c>
      <c r="E158" s="107">
        <f>0.25*HormiMassa*HormiLkm*HormiLkm/(HormiLkm-1)</f>
        <v>0</v>
      </c>
      <c r="G158" s="8"/>
      <c r="H158" s="107"/>
      <c r="J158" s="8"/>
      <c r="K158" s="107"/>
      <c r="M158" s="8"/>
      <c r="N158" s="107"/>
      <c r="P158" s="8" t="s">
        <v>209</v>
      </c>
      <c r="Q158" s="107" t="e" vm="4">
        <f ca="1">$B$62*PohjaAla</f>
        <v>#VALUE!</v>
      </c>
      <c r="S158" s="8" t="s">
        <v>260</v>
      </c>
      <c r="T158" s="107" t="e" vm="4">
        <f ca="1">$B$76*PohjaAla</f>
        <v>#VALUE!</v>
      </c>
      <c r="V158" s="8" t="s">
        <v>274</v>
      </c>
      <c r="W158" s="107" t="e" vm="4">
        <f ca="1">B97*K</f>
        <v>#VALUE!</v>
      </c>
      <c r="Y158" s="8"/>
      <c r="Z158" s="107"/>
      <c r="AB158" s="8" t="s">
        <v>279</v>
      </c>
      <c r="AC158" s="107" t="e" vm="4">
        <f ca="1">$B$91*(NurkkaLkm+2)</f>
        <v>#VALUE!</v>
      </c>
      <c r="AE158" s="8" t="s">
        <v>342</v>
      </c>
      <c r="AF158" s="107" t="e" vm="4">
        <f ca="1">IF(OR(Runko1=2,Runko2=2),0,$B$105*KattoAla)</f>
        <v>#VALUE!</v>
      </c>
      <c r="AH158" s="8" t="s">
        <v>302</v>
      </c>
      <c r="AI158" s="107">
        <f>IF(B17=1,20,0)</f>
        <v>0</v>
      </c>
      <c r="AK158" s="8"/>
      <c r="AL158" s="107"/>
    </row>
    <row r="159" spans="1:38" x14ac:dyDescent="0.3">
      <c r="A159" s="57" t="s">
        <v>253</v>
      </c>
      <c r="B159" s="72" t="e" vm="4">
        <f ca="1">$B$69*VälipohjaAla</f>
        <v>#VALUE!</v>
      </c>
      <c r="D159" s="57" t="s">
        <v>311</v>
      </c>
      <c r="E159" s="72">
        <f>IF(B23=1,(MIN(MAX(800,800+5.7*(K-60)),1600))*C23,0)</f>
        <v>0</v>
      </c>
      <c r="G159" s="57"/>
      <c r="H159" s="72"/>
      <c r="J159" s="57"/>
      <c r="K159" s="72"/>
      <c r="M159" s="57"/>
      <c r="N159" s="72"/>
      <c r="P159" s="57" t="s">
        <v>210</v>
      </c>
      <c r="Q159" s="72" t="e" vm="4">
        <f ca="1">K*$B$63</f>
        <v>#VALUE!</v>
      </c>
      <c r="S159" s="57" t="s">
        <v>261</v>
      </c>
      <c r="T159" s="72" t="e" vm="4">
        <f ca="1">$B$77*VälipohjaAla</f>
        <v>#VALUE!</v>
      </c>
      <c r="V159" s="57" t="s">
        <v>275</v>
      </c>
      <c r="W159" s="72">
        <f>IF(Kattomateriaali=1,6*KattoAla,0)</f>
        <v>0</v>
      </c>
      <c r="Y159" s="57"/>
      <c r="Z159" s="72"/>
      <c r="AB159" s="5" t="s">
        <v>280</v>
      </c>
      <c r="AC159" s="106" t="e" vm="4">
        <f ca="1">IF(OR(Runko1=2,Runko2=2),0,$B$130*PohjaPiiri)</f>
        <v>#VALUE!</v>
      </c>
      <c r="AE159" s="57" t="s">
        <v>343</v>
      </c>
      <c r="AF159" s="72" t="e" vm="4">
        <f ca="1">$B$106*VälipohjaAla</f>
        <v>#VALUE!</v>
      </c>
      <c r="AH159" s="57" t="s">
        <v>359</v>
      </c>
      <c r="AI159" s="72"/>
      <c r="AK159" s="57"/>
      <c r="AL159" s="72"/>
    </row>
    <row r="160" spans="1:38" x14ac:dyDescent="0.3">
      <c r="A160" s="8" t="s">
        <v>254</v>
      </c>
      <c r="B160" s="107" t="e" vm="4">
        <f ca="1">$B$70*PohjaAla</f>
        <v>#VALUE!</v>
      </c>
      <c r="D160" s="8" t="s">
        <v>258</v>
      </c>
      <c r="E160" s="107">
        <f>IF(Julkisivu1=4,200*JulkisivuAla1,0)+IF(Julkisivu2=4,200*JulkisivuAla2,0)</f>
        <v>0</v>
      </c>
      <c r="G160" s="8"/>
      <c r="H160" s="107"/>
      <c r="J160" s="8"/>
      <c r="K160" s="107"/>
      <c r="M160" s="8"/>
      <c r="N160" s="107"/>
      <c r="P160" s="8"/>
      <c r="Q160" s="107"/>
      <c r="S160" s="8" t="s">
        <v>262</v>
      </c>
      <c r="T160" s="107" t="e" vm="4">
        <f ca="1">$B$78*KattoAla</f>
        <v>#VALUE!</v>
      </c>
      <c r="V160" s="8" t="s">
        <v>289</v>
      </c>
      <c r="W160" s="107">
        <f>IF(B21=1,MAX(0.035*65*K,80),0)</f>
        <v>0</v>
      </c>
      <c r="Y160" s="8"/>
      <c r="Z160" s="107"/>
      <c r="AB160" s="8" t="s">
        <v>281</v>
      </c>
      <c r="AC160" s="107">
        <f>IF(OR(Runko1=1,Runko2=1),$B$129*(PohjaAla+JulkisivuAla),0)</f>
        <v>0</v>
      </c>
      <c r="AE160" s="8" t="s">
        <v>344</v>
      </c>
      <c r="AF160" s="107" t="e" vm="4">
        <f ca="1">IF(OR(Runko1=2,Runko2=2),0,$B$108*VäliseinäAla)</f>
        <v>#VALUE!</v>
      </c>
      <c r="AH160" s="8"/>
      <c r="AI160" s="107"/>
      <c r="AK160" s="8"/>
      <c r="AL160" s="107"/>
    </row>
    <row r="161" spans="1:38" x14ac:dyDescent="0.3">
      <c r="A161" s="5" t="s">
        <v>255</v>
      </c>
      <c r="B161" s="72" t="e" vm="4">
        <f ca="1">$B$71*VäliseinäAla</f>
        <v>#VALUE!</v>
      </c>
      <c r="D161" s="5" t="s">
        <v>293</v>
      </c>
      <c r="E161" s="72">
        <f>IF(B26=1,(MIN(MAX(1000,910+K),1150))*C26,0)</f>
        <v>0</v>
      </c>
      <c r="G161" s="5"/>
      <c r="H161" s="72"/>
      <c r="J161" s="5"/>
      <c r="K161" s="72"/>
      <c r="M161" s="5"/>
      <c r="N161" s="72"/>
      <c r="P161" s="5"/>
      <c r="Q161" s="72"/>
      <c r="S161" s="5" t="s">
        <v>263</v>
      </c>
      <c r="T161" s="72" t="e" vm="4">
        <f ca="1">$B$79*VäliseinäAla</f>
        <v>#VALUE!</v>
      </c>
      <c r="V161" s="5" t="s">
        <v>295</v>
      </c>
      <c r="W161" s="72">
        <f>IF(B18=1,50*SQRT(K)+30,0)</f>
        <v>0</v>
      </c>
      <c r="Y161" s="5"/>
      <c r="Z161" s="72"/>
      <c r="AB161" s="5" t="s">
        <v>282</v>
      </c>
      <c r="AC161" s="106">
        <f>0.175*KattoAla</f>
        <v>0</v>
      </c>
      <c r="AE161" s="5" t="s">
        <v>345</v>
      </c>
      <c r="AF161" s="106" t="e" vm="4">
        <f ca="1">IF(OR(Runko1=2,Runko2=2),1.2*$B$109*(0.5*PohjaPiiri+PohjaAla),$B$109*(0.5*PohjaPiiri+PohjaAla))</f>
        <v>#VALUE!</v>
      </c>
      <c r="AH161" s="5"/>
      <c r="AI161" s="72"/>
      <c r="AK161" s="5"/>
      <c r="AL161" s="72"/>
    </row>
    <row r="162" spans="1:38" x14ac:dyDescent="0.3">
      <c r="A162" s="8" t="s">
        <v>256</v>
      </c>
      <c r="B162" s="107" t="e" vm="4">
        <f ca="1">$B$73*Kellaripiiri</f>
        <v>#VALUE!</v>
      </c>
      <c r="D162" s="8" t="s">
        <v>363</v>
      </c>
      <c r="E162" s="107">
        <f>IF(B24=1,(MIN(MAX(1500,1100+K*13),5000))*C24,0)</f>
        <v>0</v>
      </c>
      <c r="G162" s="8"/>
      <c r="H162" s="107"/>
      <c r="J162" s="8"/>
      <c r="K162" s="107"/>
      <c r="M162" s="8"/>
      <c r="N162" s="107"/>
      <c r="P162" s="8"/>
      <c r="Q162" s="107"/>
      <c r="S162" s="8" t="s">
        <v>264</v>
      </c>
      <c r="T162" s="107" t="e" vm="4">
        <f ca="1">B80*K</f>
        <v>#VALUE!</v>
      </c>
      <c r="V162" s="8" t="s">
        <v>366</v>
      </c>
      <c r="W162" s="107">
        <f>IF(B16=1,MAX(MIN(250,K*2.25),470),0)</f>
        <v>0</v>
      </c>
      <c r="Y162" s="8"/>
      <c r="Z162" s="107"/>
      <c r="AB162" s="8" t="s">
        <v>283</v>
      </c>
      <c r="AC162" s="107">
        <f>3*K</f>
        <v>0</v>
      </c>
      <c r="AE162" s="8" t="s">
        <v>346</v>
      </c>
      <c r="AF162" s="107" t="e" vm="4">
        <f ca="1">$B$110*PohjaPiiri</f>
        <v>#VALUE!</v>
      </c>
      <c r="AH162" s="8"/>
      <c r="AI162" s="107"/>
      <c r="AK162" s="8"/>
      <c r="AL162" s="107"/>
    </row>
    <row r="163" spans="1:38" x14ac:dyDescent="0.3">
      <c r="A163" s="5"/>
      <c r="B163" s="106"/>
      <c r="D163" s="5" t="s">
        <v>312</v>
      </c>
      <c r="E163" s="106">
        <f>IF(B27=1,(MIN(MAX(1800,1600+K*5),3200))*C27,0)</f>
        <v>0</v>
      </c>
      <c r="G163" s="5"/>
      <c r="H163" s="106"/>
      <c r="J163" s="5"/>
      <c r="K163" s="106"/>
      <c r="M163" s="5"/>
      <c r="N163" s="106"/>
      <c r="P163" s="5"/>
      <c r="Q163" s="106"/>
      <c r="S163" s="5" t="s">
        <v>265</v>
      </c>
      <c r="T163" s="106" t="e" vm="4">
        <f ca="1">$B$81*K</f>
        <v>#VALUE!</v>
      </c>
      <c r="V163" s="5" t="s">
        <v>367</v>
      </c>
      <c r="W163" s="72">
        <f>IF(B20=1,180,0)</f>
        <v>0</v>
      </c>
      <c r="Y163" s="5"/>
      <c r="Z163" s="106"/>
      <c r="AB163" s="5" t="s">
        <v>284</v>
      </c>
      <c r="AC163" s="106">
        <f>3*K</f>
        <v>0</v>
      </c>
      <c r="AE163" s="5" t="s">
        <v>347</v>
      </c>
      <c r="AF163" s="106" t="e" vm="4">
        <f ca="1">$B$111*JulkisivuAla</f>
        <v>#VALUE!</v>
      </c>
      <c r="AH163" s="5"/>
      <c r="AI163" s="106"/>
      <c r="AK163" s="5"/>
      <c r="AL163" s="106"/>
    </row>
    <row r="164" spans="1:38" x14ac:dyDescent="0.3">
      <c r="A164" s="8"/>
      <c r="B164" s="107"/>
      <c r="D164" s="8" t="s">
        <v>291</v>
      </c>
      <c r="E164" s="107">
        <f>IF(B25=1,800*C25,0)</f>
        <v>0</v>
      </c>
      <c r="G164" s="8"/>
      <c r="H164" s="107"/>
      <c r="K164" s="56"/>
      <c r="M164" s="8"/>
      <c r="N164" s="107"/>
      <c r="Q164" s="56"/>
      <c r="S164" s="8" t="s">
        <v>266</v>
      </c>
      <c r="T164" s="107" t="e" vm="4">
        <f ca="1">$B$82*K</f>
        <v>#VALUE!</v>
      </c>
      <c r="V164" s="8" t="s">
        <v>368</v>
      </c>
      <c r="W164" s="107">
        <f>IF(B19=1,MAX(MIN(35,K*0.4),80),0)</f>
        <v>0</v>
      </c>
      <c r="Y164" s="8"/>
      <c r="Z164" s="107"/>
      <c r="AB164" s="8" t="s">
        <v>285</v>
      </c>
      <c r="AC164" s="107" t="e" vm="4">
        <f ca="1">$B$92*K</f>
        <v>#VALUE!</v>
      </c>
      <c r="AE164" s="8" t="s">
        <v>348</v>
      </c>
      <c r="AF164" s="107" t="e" vm="4">
        <f ca="1">IF(OR(Runko1=2,Runko2=2),1.2*$B$112*KattoAla,$B$112*KattoAla)</f>
        <v>#VALUE!</v>
      </c>
      <c r="AI164" s="56"/>
      <c r="AL164" s="56"/>
    </row>
    <row r="165" spans="1:38" x14ac:dyDescent="0.3">
      <c r="B165" s="56"/>
      <c r="D165" s="5" t="s">
        <v>365</v>
      </c>
      <c r="E165" s="106">
        <f>IF(Kattomateriaali=2,40*KattoAla,0)</f>
        <v>0</v>
      </c>
      <c r="H165" s="56"/>
      <c r="K165" s="56"/>
      <c r="N165" s="56"/>
      <c r="Q165" s="56"/>
      <c r="S165" s="5" t="s">
        <v>267</v>
      </c>
      <c r="T165" s="106" t="e" vm="4">
        <f ca="1">$B$83*K</f>
        <v>#VALUE!</v>
      </c>
      <c r="V165" s="5" t="s">
        <v>291</v>
      </c>
      <c r="W165" s="72">
        <f>IF(B25=1,85,0)</f>
        <v>0</v>
      </c>
      <c r="Z165" s="56"/>
      <c r="AB165" s="5" t="s">
        <v>286</v>
      </c>
      <c r="AC165" s="106" t="e" vm="4">
        <f ca="1">$B$93*K</f>
        <v>#VALUE!</v>
      </c>
      <c r="AE165" s="5" t="s">
        <v>349</v>
      </c>
      <c r="AF165" s="72" t="e" vm="4">
        <f ca="1">$B$113*VälipohjaAla</f>
        <v>#VALUE!</v>
      </c>
      <c r="AI165" s="56"/>
      <c r="AL165" s="56"/>
    </row>
    <row r="166" spans="1:38" x14ac:dyDescent="0.3">
      <c r="B166" s="56"/>
      <c r="E166" s="56"/>
      <c r="H166" s="56"/>
      <c r="K166" s="56"/>
      <c r="N166" s="56"/>
      <c r="Q166" s="56"/>
      <c r="S166" s="8" t="s">
        <v>268</v>
      </c>
      <c r="T166" s="107" t="e" vm="4">
        <f ca="1">$B$84*K</f>
        <v>#VALUE!</v>
      </c>
      <c r="V166" s="8" t="s">
        <v>390</v>
      </c>
      <c r="W166" s="107" t="e" vm="4">
        <f ca="1">$B$131*V</f>
        <v>#VALUE!</v>
      </c>
      <c r="Z166" s="56"/>
      <c r="AB166" s="8" t="s">
        <v>287</v>
      </c>
      <c r="AC166" s="107" t="e" vm="4">
        <f ca="1">$B$94*K</f>
        <v>#VALUE!</v>
      </c>
      <c r="AE166" s="8" t="s">
        <v>350</v>
      </c>
      <c r="AF166" s="107" t="e" vm="4">
        <f ca="1">IF(OR(Runko1=2,Runko2=2),0.3*$B$114*VäliseinäAla,$B$114*VäliseinäAla)</f>
        <v>#VALUE!</v>
      </c>
      <c r="AI166" s="56"/>
      <c r="AL166" s="56"/>
    </row>
    <row r="167" spans="1:38" x14ac:dyDescent="0.3">
      <c r="E167" s="56"/>
      <c r="H167" s="56"/>
      <c r="N167" s="56"/>
      <c r="Q167" s="56"/>
      <c r="S167" s="5" t="s">
        <v>269</v>
      </c>
      <c r="T167" s="106" t="e" vm="4">
        <f ca="1">($B$85+$B$86)*K</f>
        <v>#VALUE!</v>
      </c>
      <c r="V167" s="5" t="s">
        <v>416</v>
      </c>
      <c r="W167" s="72" t="e" vm="4">
        <f ca="1">SUM($B$155:$B$174)*(B153)</f>
        <v>#VALUE!</v>
      </c>
      <c r="Z167" s="56"/>
      <c r="AC167" s="56"/>
      <c r="AE167" s="5" t="s">
        <v>351</v>
      </c>
      <c r="AF167" s="106" t="e" vm="4">
        <f ca="1">IF(OR(Runko1=2,Runko2=2),1.2*$B$115*(0.5*PohjaPiiri+PohjaAla),$B$115*(0.5*PohjaPiiri+PohjaAla))</f>
        <v>#VALUE!</v>
      </c>
      <c r="AI167" s="56"/>
      <c r="AL167" s="56"/>
    </row>
    <row r="168" spans="1:38" x14ac:dyDescent="0.3">
      <c r="B168" s="56"/>
      <c r="E168" s="56"/>
      <c r="N168" s="56"/>
      <c r="Q168" s="56"/>
      <c r="S168" s="8" t="s">
        <v>270</v>
      </c>
      <c r="T168" s="107">
        <f>IF(Tiedot!$B$9&gt;1,Materiaalilaskenta!$B$87*K,0)</f>
        <v>0</v>
      </c>
      <c r="W168" s="56"/>
      <c r="Z168" s="56"/>
      <c r="AC168" s="56"/>
      <c r="AE168" s="8" t="s">
        <v>352</v>
      </c>
      <c r="AF168" s="107" t="e" vm="4">
        <f ca="1">$B$116*PohjaPiiri</f>
        <v>#VALUE!</v>
      </c>
      <c r="AI168" s="56"/>
      <c r="AL168" s="56"/>
    </row>
    <row r="169" spans="1:38" x14ac:dyDescent="0.3">
      <c r="B169" s="56"/>
      <c r="E169" s="56"/>
      <c r="N169" s="56"/>
      <c r="Q169" s="56"/>
      <c r="S169" s="5" t="s">
        <v>375</v>
      </c>
      <c r="T169" s="106">
        <f>IF(Kattomateriaali=4,14*KattoAla,0)</f>
        <v>0</v>
      </c>
      <c r="W169" s="56"/>
      <c r="AC169" s="56"/>
      <c r="AE169" s="5" t="s">
        <v>353</v>
      </c>
      <c r="AF169" s="106" t="e" vm="4">
        <f ca="1">$B$117*JulkisivuAla</f>
        <v>#VALUE!</v>
      </c>
      <c r="AL169" s="56"/>
    </row>
    <row r="170" spans="1:38" x14ac:dyDescent="0.3">
      <c r="B170" s="56"/>
      <c r="E170" s="56"/>
      <c r="T170" s="56"/>
      <c r="W170" s="56"/>
      <c r="AC170" s="56"/>
      <c r="AE170" s="8" t="s">
        <v>354</v>
      </c>
      <c r="AF170" s="107" t="e" vm="4">
        <f ca="1">IF(OR(Runko1=2,Runko2=2),1.2*$B$118*KattoAla,$B$118*KattoAla)</f>
        <v>#VALUE!</v>
      </c>
    </row>
    <row r="171" spans="1:38" x14ac:dyDescent="0.3">
      <c r="B171" s="56"/>
      <c r="E171" s="56"/>
      <c r="T171" s="56"/>
      <c r="W171" s="56"/>
      <c r="AC171" s="56"/>
      <c r="AE171" s="5" t="s">
        <v>355</v>
      </c>
      <c r="AF171" s="72" t="e" vm="4">
        <f ca="1">$B$119*VälipohjaAla</f>
        <v>#VALUE!</v>
      </c>
    </row>
    <row r="172" spans="1:38" x14ac:dyDescent="0.3">
      <c r="B172" s="56"/>
      <c r="E172" s="56"/>
      <c r="T172" s="56"/>
      <c r="AC172" s="56"/>
      <c r="AE172" s="8" t="s">
        <v>356</v>
      </c>
      <c r="AF172" s="107" t="e" vm="4">
        <f ca="1">IF(OR(Runko1=2,Runko2=2),0.3*$B$120*VäliseinäAla,$B$120*VäliseinäAla)</f>
        <v>#VALUE!</v>
      </c>
    </row>
    <row r="173" spans="1:38" x14ac:dyDescent="0.3">
      <c r="B173" s="56"/>
      <c r="T173" s="56"/>
      <c r="AE173" s="5" t="s">
        <v>376</v>
      </c>
      <c r="AF173" s="72" t="e" vm="4">
        <f ca="1">$B$122*(0.5*PohjaPiiri+PohjaAla)</f>
        <v>#VALUE!</v>
      </c>
    </row>
    <row r="174" spans="1:38" x14ac:dyDescent="0.3">
      <c r="T174" s="56"/>
      <c r="AE174" s="8" t="s">
        <v>378</v>
      </c>
      <c r="AF174" s="107" t="e" vm="4">
        <f ca="1">$B$123*PohjaPiiri</f>
        <v>#VALUE!</v>
      </c>
    </row>
    <row r="175" spans="1:38" x14ac:dyDescent="0.3">
      <c r="T175" s="56"/>
      <c r="AE175" s="5" t="s">
        <v>379</v>
      </c>
      <c r="AF175" s="72" t="e" vm="4">
        <f ca="1">$B$125*KattoAla</f>
        <v>#VALUE!</v>
      </c>
    </row>
    <row r="176" spans="1:38" x14ac:dyDescent="0.3">
      <c r="AF176" s="56"/>
    </row>
    <row r="177" spans="32:32" x14ac:dyDescent="0.3">
      <c r="AF177" s="56"/>
    </row>
    <row r="178" spans="32:32" x14ac:dyDescent="0.3">
      <c r="AF178" s="56"/>
    </row>
    <row r="308" spans="1:2" x14ac:dyDescent="0.3">
      <c r="A308" s="8"/>
      <c r="B308"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B8B36-475D-4C4E-BA5F-81870742A831}">
  <sheetPr codeName="Sheet4"/>
  <dimension ref="A1:P14"/>
  <sheetViews>
    <sheetView workbookViewId="0">
      <selection activeCell="BX9" sqref="BX9:CA10"/>
    </sheetView>
  </sheetViews>
  <sheetFormatPr defaultRowHeight="14.4" x14ac:dyDescent="0.3"/>
  <cols>
    <col min="1" max="1" width="28.33203125" bestFit="1" customWidth="1"/>
    <col min="8" max="8" width="28.33203125" bestFit="1" customWidth="1"/>
  </cols>
  <sheetData>
    <row r="1" spans="1:16" x14ac:dyDescent="0.3">
      <c r="I1" t="s">
        <v>147</v>
      </c>
      <c r="J1" t="s">
        <v>79</v>
      </c>
      <c r="K1" t="s">
        <v>148</v>
      </c>
      <c r="L1" t="s">
        <v>149</v>
      </c>
      <c r="M1" t="s">
        <v>150</v>
      </c>
      <c r="N1" t="s">
        <v>151</v>
      </c>
    </row>
    <row r="2" spans="1:16" x14ac:dyDescent="0.3">
      <c r="A2" t="s">
        <v>6</v>
      </c>
      <c r="B2" s="108">
        <f ca="1">Purkulaskuri!DN22</f>
        <v>0</v>
      </c>
      <c r="C2" s="56"/>
      <c r="D2">
        <v>1</v>
      </c>
      <c r="E2" t="str">
        <f ca="1">INDEX($A$2:$A$14,MATCH(F2,$B$2:$B$14,0),1)</f>
        <v>Betoni</v>
      </c>
      <c r="F2" s="108">
        <f ca="1">LARGE($B$2:$B$14,D2)</f>
        <v>0</v>
      </c>
      <c r="G2" s="56"/>
      <c r="H2" t="str">
        <f ca="1">IF(F2=0,"NA",E2)</f>
        <v>NA</v>
      </c>
      <c r="I2" s="109" t="e">
        <f ca="1">IF(OR($H2="Betoni",$H2="Tiili",$H2="Kivennäislaatat ja keramiikka",$H2="Asfaltti",$H2="Kipsi"),VLOOKUP($H2,$E$2:$F$14,2,FALSE),NA())</f>
        <v>#N/A</v>
      </c>
      <c r="J2" s="109" t="e">
        <f ca="1">IF(OR($H2="Eristeet"),VLOOKUP($H2,$E$2:$F$14,2,FALSE),NA())</f>
        <v>#N/A</v>
      </c>
      <c r="K2" s="109" t="e">
        <f ca="1">IF(OR($H2="Puu ja puupohjaiset tuotteet"),VLOOKUP($H2,$E$2:$F$14,2,FALSE),NA())</f>
        <v>#N/A</v>
      </c>
      <c r="L2" s="109" t="e">
        <f ca="1">IF(OR($H2="metalli"),VLOOKUP($H2,$E$2:$F$14,2,FALSE),NA())</f>
        <v>#N/A</v>
      </c>
      <c r="M2" s="109" t="e">
        <f ca="1">IF(OR($H2="Muovi (pl. Muovieristeet)",$H2="Bitumi ja kattohuopa"),VLOOKUP($H2,$E$2:$F$14,2,FALSE),NA())</f>
        <v>#N/A</v>
      </c>
      <c r="N2" s="109" t="e">
        <f t="shared" ref="N2:N6" ca="1" si="0">IF(OR($H2="Sähkölaitteet",$H2="Lasi",$H2="Sekalainen materiaali"),VLOOKUP($H2,$E$2:$F$14,2,FALSE),NA())</f>
        <v>#N/A</v>
      </c>
      <c r="O2" s="56"/>
      <c r="P2" s="56"/>
    </row>
    <row r="3" spans="1:16" x14ac:dyDescent="0.3">
      <c r="A3" t="s">
        <v>70</v>
      </c>
      <c r="B3" s="108">
        <f ca="1">Purkulaskuri!DN23</f>
        <v>0</v>
      </c>
      <c r="C3" s="56"/>
      <c r="D3">
        <v>2</v>
      </c>
      <c r="E3" t="str">
        <f t="shared" ref="E3:E14" ca="1" si="1">INDEX($A$2:$A$14,MATCH(F3,$B$2:$B$14,0),1)</f>
        <v>Betoni</v>
      </c>
      <c r="F3" s="108">
        <f ca="1">LARGE($B$2:$B$14,D3)</f>
        <v>0</v>
      </c>
      <c r="G3" s="56"/>
      <c r="H3" t="str">
        <f t="shared" ref="H3:H14" ca="1" si="2">IF(F3=0,"NA",E3)</f>
        <v>NA</v>
      </c>
      <c r="I3" s="109" t="e">
        <f t="shared" ref="I3:I14" ca="1" si="3">IF(OR($H3="Betoni",$H3="Tiili",$H3="Kivennäislaatat ja keramiikka",$H3="Asfaltti",$H3="Kipsi"),VLOOKUP($H3,$E$2:$F$14,2,FALSE),NA())</f>
        <v>#N/A</v>
      </c>
      <c r="J3" s="109" t="e">
        <f t="shared" ref="J3:J14" ca="1" si="4">IF(OR($H3="Eristeet"),VLOOKUP($H3,$E$2:$F$14,2,FALSE),NA())</f>
        <v>#N/A</v>
      </c>
      <c r="K3" s="109" t="e">
        <f t="shared" ref="K3:K14" ca="1" si="5">IF(OR($H3="Puu ja puupohjaiset tuotteet"),VLOOKUP($H3,$E$2:$F$14,2,FALSE),NA())</f>
        <v>#N/A</v>
      </c>
      <c r="L3" s="109" t="e">
        <f t="shared" ref="L3:L14" ca="1" si="6">IF(OR($H3="metalli"),VLOOKUP($H3,$E$2:$F$14,2,FALSE),NA())</f>
        <v>#N/A</v>
      </c>
      <c r="M3" s="109" t="e">
        <f t="shared" ref="M3:M14" ca="1" si="7">IF(OR($H3="Muovi (pl. Muovieristeet)",$H3="Bitumi ja kattohuopa"),VLOOKUP($H3,$E$2:$F$14,2,FALSE),NA())</f>
        <v>#N/A</v>
      </c>
      <c r="N3" s="109" t="e">
        <f t="shared" ca="1" si="0"/>
        <v>#N/A</v>
      </c>
      <c r="O3" s="56"/>
      <c r="P3" s="56"/>
    </row>
    <row r="4" spans="1:16" x14ac:dyDescent="0.3">
      <c r="A4" t="s">
        <v>82</v>
      </c>
      <c r="B4" s="108">
        <f ca="1">Purkulaskuri!DN24</f>
        <v>0</v>
      </c>
      <c r="C4" s="56"/>
      <c r="D4">
        <v>3</v>
      </c>
      <c r="E4" t="str">
        <f t="shared" ca="1" si="1"/>
        <v>Betoni</v>
      </c>
      <c r="F4" s="108">
        <f t="shared" ref="F4:F14" ca="1" si="8">LARGE($B$2:$B$14,D4)</f>
        <v>0</v>
      </c>
      <c r="G4" s="56"/>
      <c r="H4" t="str">
        <f t="shared" ca="1" si="2"/>
        <v>NA</v>
      </c>
      <c r="I4" s="109" t="e">
        <f t="shared" ca="1" si="3"/>
        <v>#N/A</v>
      </c>
      <c r="J4" s="109" t="e">
        <f t="shared" ca="1" si="4"/>
        <v>#N/A</v>
      </c>
      <c r="K4" s="109" t="e">
        <f t="shared" ca="1" si="5"/>
        <v>#N/A</v>
      </c>
      <c r="L4" s="109" t="e">
        <f t="shared" ca="1" si="6"/>
        <v>#N/A</v>
      </c>
      <c r="M4" s="109" t="e">
        <f t="shared" ca="1" si="7"/>
        <v>#N/A</v>
      </c>
      <c r="N4" s="109" t="e">
        <f t="shared" ca="1" si="0"/>
        <v>#N/A</v>
      </c>
      <c r="O4" s="56"/>
      <c r="P4" s="56"/>
    </row>
    <row r="5" spans="1:16" x14ac:dyDescent="0.3">
      <c r="A5" t="s">
        <v>77</v>
      </c>
      <c r="B5" s="108">
        <f>Purkulaskuri!DN25</f>
        <v>0</v>
      </c>
      <c r="C5" s="56"/>
      <c r="D5">
        <v>4</v>
      </c>
      <c r="E5" t="str">
        <f t="shared" ca="1" si="1"/>
        <v>Betoni</v>
      </c>
      <c r="F5" s="108">
        <f t="shared" ca="1" si="8"/>
        <v>0</v>
      </c>
      <c r="G5" s="56"/>
      <c r="H5" t="str">
        <f t="shared" ca="1" si="2"/>
        <v>NA</v>
      </c>
      <c r="I5" s="109" t="e">
        <f t="shared" ca="1" si="3"/>
        <v>#N/A</v>
      </c>
      <c r="J5" s="109" t="e">
        <f t="shared" ca="1" si="4"/>
        <v>#N/A</v>
      </c>
      <c r="K5" s="109" t="e">
        <f t="shared" ca="1" si="5"/>
        <v>#N/A</v>
      </c>
      <c r="L5" s="109" t="e">
        <f t="shared" ca="1" si="6"/>
        <v>#N/A</v>
      </c>
      <c r="M5" s="109" t="e">
        <f t="shared" ca="1" si="7"/>
        <v>#N/A</v>
      </c>
      <c r="N5" s="109" t="e">
        <f t="shared" ca="1" si="0"/>
        <v>#N/A</v>
      </c>
      <c r="O5" s="56"/>
      <c r="P5" s="56"/>
    </row>
    <row r="6" spans="1:16" x14ac:dyDescent="0.3">
      <c r="A6" t="s">
        <v>83</v>
      </c>
      <c r="B6" s="108">
        <f>Purkulaskuri!DN26</f>
        <v>0</v>
      </c>
      <c r="C6" s="56"/>
      <c r="D6">
        <v>5</v>
      </c>
      <c r="E6" t="str">
        <f t="shared" ca="1" si="1"/>
        <v>Betoni</v>
      </c>
      <c r="F6" s="108">
        <f t="shared" ca="1" si="8"/>
        <v>0</v>
      </c>
      <c r="G6" s="56"/>
      <c r="H6" t="str">
        <f t="shared" ca="1" si="2"/>
        <v>NA</v>
      </c>
      <c r="I6" s="109" t="e">
        <f t="shared" ca="1" si="3"/>
        <v>#N/A</v>
      </c>
      <c r="J6" s="109" t="e">
        <f t="shared" ca="1" si="4"/>
        <v>#N/A</v>
      </c>
      <c r="K6" s="109" t="e">
        <f t="shared" ca="1" si="5"/>
        <v>#N/A</v>
      </c>
      <c r="L6" s="109" t="e">
        <f t="shared" ca="1" si="6"/>
        <v>#N/A</v>
      </c>
      <c r="M6" s="109" t="e">
        <f t="shared" ca="1" si="7"/>
        <v>#N/A</v>
      </c>
      <c r="N6" s="109" t="e">
        <f t="shared" ca="1" si="0"/>
        <v>#N/A</v>
      </c>
      <c r="O6" s="56"/>
      <c r="P6" s="56"/>
    </row>
    <row r="7" spans="1:16" x14ac:dyDescent="0.3">
      <c r="A7" t="s">
        <v>84</v>
      </c>
      <c r="B7" s="108">
        <f ca="1">Purkulaskuri!DN27</f>
        <v>0</v>
      </c>
      <c r="C7" s="56"/>
      <c r="D7">
        <v>6</v>
      </c>
      <c r="E7" t="str">
        <f t="shared" ca="1" si="1"/>
        <v>Betoni</v>
      </c>
      <c r="F7" s="108">
        <f t="shared" ca="1" si="8"/>
        <v>0</v>
      </c>
      <c r="G7" s="56"/>
      <c r="H7" t="str">
        <f t="shared" ca="1" si="2"/>
        <v>NA</v>
      </c>
      <c r="I7" s="109" t="e">
        <f t="shared" ca="1" si="3"/>
        <v>#N/A</v>
      </c>
      <c r="J7" s="109" t="e">
        <f t="shared" ca="1" si="4"/>
        <v>#N/A</v>
      </c>
      <c r="K7" s="109" t="e">
        <f t="shared" ca="1" si="5"/>
        <v>#N/A</v>
      </c>
      <c r="L7" s="109" t="e">
        <f t="shared" ca="1" si="6"/>
        <v>#N/A</v>
      </c>
      <c r="M7" s="109" t="e">
        <f t="shared" ca="1" si="7"/>
        <v>#N/A</v>
      </c>
      <c r="N7" s="109" t="e">
        <f ca="1">IF(OR($H7="Sähkölaitteet",$H7="Lasi",$H7="Sekalainen materiaali"),VLOOKUP($H7,$E$2:$F$14,2,FALSE),NA())</f>
        <v>#N/A</v>
      </c>
      <c r="O7" s="56"/>
      <c r="P7" s="56"/>
    </row>
    <row r="8" spans="1:16" x14ac:dyDescent="0.3">
      <c r="A8" t="s">
        <v>85</v>
      </c>
      <c r="B8" s="108">
        <f ca="1">Purkulaskuri!DN28</f>
        <v>0</v>
      </c>
      <c r="C8" s="56"/>
      <c r="D8">
        <v>7</v>
      </c>
      <c r="E8" t="str">
        <f t="shared" ca="1" si="1"/>
        <v>Betoni</v>
      </c>
      <c r="F8" s="108">
        <f t="shared" ca="1" si="8"/>
        <v>0</v>
      </c>
      <c r="G8" s="56"/>
      <c r="H8" t="str">
        <f t="shared" ca="1" si="2"/>
        <v>NA</v>
      </c>
      <c r="I8" s="109" t="e">
        <f t="shared" ca="1" si="3"/>
        <v>#N/A</v>
      </c>
      <c r="J8" s="109" t="e">
        <f t="shared" ca="1" si="4"/>
        <v>#N/A</v>
      </c>
      <c r="K8" s="109" t="e">
        <f t="shared" ca="1" si="5"/>
        <v>#N/A</v>
      </c>
      <c r="L8" s="109" t="e">
        <f t="shared" ca="1" si="6"/>
        <v>#N/A</v>
      </c>
      <c r="M8" s="109" t="e">
        <f t="shared" ca="1" si="7"/>
        <v>#N/A</v>
      </c>
      <c r="N8" s="109" t="e">
        <f t="shared" ref="N8:N14" ca="1" si="9">IF(OR($H8="Sähkölaitteet",$H8="Lasi",$H8="Sekalainen materiaali"),VLOOKUP($H8,$E$2:$F$14,2,FALSE),NA())</f>
        <v>#N/A</v>
      </c>
      <c r="O8" s="56"/>
      <c r="P8" s="56"/>
    </row>
    <row r="9" spans="1:16" x14ac:dyDescent="0.3">
      <c r="A9" t="s">
        <v>78</v>
      </c>
      <c r="B9" s="108">
        <f ca="1">Purkulaskuri!DN29</f>
        <v>0</v>
      </c>
      <c r="C9" s="56"/>
      <c r="D9">
        <v>8</v>
      </c>
      <c r="E9" t="str">
        <f t="shared" ca="1" si="1"/>
        <v>Betoni</v>
      </c>
      <c r="F9" s="108">
        <f t="shared" ca="1" si="8"/>
        <v>0</v>
      </c>
      <c r="G9" s="56"/>
      <c r="H9" t="str">
        <f t="shared" ca="1" si="2"/>
        <v>NA</v>
      </c>
      <c r="I9" s="109" t="e">
        <f t="shared" ca="1" si="3"/>
        <v>#N/A</v>
      </c>
      <c r="J9" s="109" t="e">
        <f t="shared" ca="1" si="4"/>
        <v>#N/A</v>
      </c>
      <c r="K9" s="109" t="e">
        <f t="shared" ca="1" si="5"/>
        <v>#N/A</v>
      </c>
      <c r="L9" s="109" t="e">
        <f t="shared" ca="1" si="6"/>
        <v>#N/A</v>
      </c>
      <c r="M9" s="109" t="e">
        <f t="shared" ca="1" si="7"/>
        <v>#N/A</v>
      </c>
      <c r="N9" s="109" t="e">
        <f t="shared" ca="1" si="9"/>
        <v>#N/A</v>
      </c>
      <c r="O9" s="56"/>
      <c r="P9" s="56"/>
    </row>
    <row r="10" spans="1:16" x14ac:dyDescent="0.3">
      <c r="A10" t="s">
        <v>72</v>
      </c>
      <c r="B10" s="108">
        <f ca="1">Purkulaskuri!DN30</f>
        <v>0</v>
      </c>
      <c r="C10" s="56"/>
      <c r="D10">
        <v>9</v>
      </c>
      <c r="E10" t="str">
        <f t="shared" ca="1" si="1"/>
        <v>Betoni</v>
      </c>
      <c r="F10" s="108">
        <f t="shared" ca="1" si="8"/>
        <v>0</v>
      </c>
      <c r="G10" s="56"/>
      <c r="H10" t="str">
        <f t="shared" ca="1" si="2"/>
        <v>NA</v>
      </c>
      <c r="I10" s="109" t="e">
        <f t="shared" ca="1" si="3"/>
        <v>#N/A</v>
      </c>
      <c r="J10" s="109" t="e">
        <f t="shared" ca="1" si="4"/>
        <v>#N/A</v>
      </c>
      <c r="K10" s="109" t="e">
        <f t="shared" ca="1" si="5"/>
        <v>#N/A</v>
      </c>
      <c r="L10" s="109" t="e">
        <f t="shared" ca="1" si="6"/>
        <v>#N/A</v>
      </c>
      <c r="M10" s="109" t="e">
        <f t="shared" ca="1" si="7"/>
        <v>#N/A</v>
      </c>
      <c r="N10" s="109" t="e">
        <f t="shared" ca="1" si="9"/>
        <v>#N/A</v>
      </c>
    </row>
    <row r="11" spans="1:16" x14ac:dyDescent="0.3">
      <c r="A11" t="s">
        <v>139</v>
      </c>
      <c r="B11" s="108">
        <f ca="1">Purkulaskuri!DN31</f>
        <v>0</v>
      </c>
      <c r="C11" s="56"/>
      <c r="D11">
        <v>10</v>
      </c>
      <c r="E11" t="str">
        <f t="shared" ca="1" si="1"/>
        <v>Betoni</v>
      </c>
      <c r="F11" s="108">
        <f t="shared" ca="1" si="8"/>
        <v>0</v>
      </c>
      <c r="G11" s="56"/>
      <c r="H11" t="str">
        <f t="shared" ca="1" si="2"/>
        <v>NA</v>
      </c>
      <c r="I11" s="109" t="e">
        <f t="shared" ca="1" si="3"/>
        <v>#N/A</v>
      </c>
      <c r="J11" s="109" t="e">
        <f t="shared" ca="1" si="4"/>
        <v>#N/A</v>
      </c>
      <c r="K11" s="109" t="e">
        <f t="shared" ca="1" si="5"/>
        <v>#N/A</v>
      </c>
      <c r="L11" s="109" t="e">
        <f t="shared" ca="1" si="6"/>
        <v>#N/A</v>
      </c>
      <c r="M11" s="109" t="e">
        <f t="shared" ca="1" si="7"/>
        <v>#N/A</v>
      </c>
      <c r="N11" s="109" t="e">
        <f t="shared" ca="1" si="9"/>
        <v>#N/A</v>
      </c>
    </row>
    <row r="12" spans="1:16" x14ac:dyDescent="0.3">
      <c r="A12" t="s">
        <v>79</v>
      </c>
      <c r="B12" s="108">
        <f ca="1">Purkulaskuri!DN32</f>
        <v>0</v>
      </c>
      <c r="C12" s="56"/>
      <c r="D12">
        <v>11</v>
      </c>
      <c r="E12" t="str">
        <f ca="1">INDEX($A$2:$A$14,MATCH(F12,$B$2:$B$14,0),1)</f>
        <v>Betoni</v>
      </c>
      <c r="F12" s="108">
        <f t="shared" ca="1" si="8"/>
        <v>0</v>
      </c>
      <c r="G12" s="56"/>
      <c r="H12" t="str">
        <f t="shared" ca="1" si="2"/>
        <v>NA</v>
      </c>
      <c r="I12" s="109" t="e">
        <f t="shared" ca="1" si="3"/>
        <v>#N/A</v>
      </c>
      <c r="J12" s="109" t="e">
        <f t="shared" ca="1" si="4"/>
        <v>#N/A</v>
      </c>
      <c r="K12" s="109" t="e">
        <f t="shared" ca="1" si="5"/>
        <v>#N/A</v>
      </c>
      <c r="L12" s="109" t="e">
        <f t="shared" ca="1" si="6"/>
        <v>#N/A</v>
      </c>
      <c r="M12" s="109" t="e">
        <f t="shared" ca="1" si="7"/>
        <v>#N/A</v>
      </c>
      <c r="N12" s="109" t="e">
        <f t="shared" ca="1" si="9"/>
        <v>#N/A</v>
      </c>
    </row>
    <row r="13" spans="1:16" x14ac:dyDescent="0.3">
      <c r="A13" t="s">
        <v>152</v>
      </c>
      <c r="B13" s="108">
        <f>Purkulaskuri!DN33</f>
        <v>0</v>
      </c>
      <c r="C13" s="56"/>
      <c r="D13">
        <v>12</v>
      </c>
      <c r="E13" t="str">
        <f t="shared" ca="1" si="1"/>
        <v>Betoni</v>
      </c>
      <c r="F13" s="108">
        <f t="shared" ca="1" si="8"/>
        <v>0</v>
      </c>
      <c r="G13" s="56"/>
      <c r="H13" t="str">
        <f t="shared" ca="1" si="2"/>
        <v>NA</v>
      </c>
      <c r="I13" s="109" t="e">
        <f t="shared" ca="1" si="3"/>
        <v>#N/A</v>
      </c>
      <c r="J13" s="109" t="e">
        <f t="shared" ca="1" si="4"/>
        <v>#N/A</v>
      </c>
      <c r="K13" s="109" t="e">
        <f t="shared" ca="1" si="5"/>
        <v>#N/A</v>
      </c>
      <c r="L13" s="109" t="e">
        <f t="shared" ca="1" si="6"/>
        <v>#N/A</v>
      </c>
      <c r="M13" s="109" t="e">
        <f t="shared" ca="1" si="7"/>
        <v>#N/A</v>
      </c>
      <c r="N13" s="109" t="e">
        <f t="shared" ca="1" si="9"/>
        <v>#N/A</v>
      </c>
    </row>
    <row r="14" spans="1:16" x14ac:dyDescent="0.3">
      <c r="A14" t="s">
        <v>87</v>
      </c>
      <c r="B14" s="108">
        <f ca="1">Purkulaskuri!DN34</f>
        <v>0</v>
      </c>
      <c r="C14" s="56"/>
      <c r="D14">
        <v>13</v>
      </c>
      <c r="E14" t="str">
        <f t="shared" ca="1" si="1"/>
        <v>Betoni</v>
      </c>
      <c r="F14" s="108">
        <f t="shared" ca="1" si="8"/>
        <v>0</v>
      </c>
      <c r="G14" s="56"/>
      <c r="H14" t="str">
        <f t="shared" ca="1" si="2"/>
        <v>NA</v>
      </c>
      <c r="I14" s="109" t="e">
        <f t="shared" ca="1" si="3"/>
        <v>#N/A</v>
      </c>
      <c r="J14" s="109" t="e">
        <f t="shared" ca="1" si="4"/>
        <v>#N/A</v>
      </c>
      <c r="K14" s="109" t="e">
        <f t="shared" ca="1" si="5"/>
        <v>#N/A</v>
      </c>
      <c r="L14" s="109" t="e">
        <f t="shared" ca="1" si="6"/>
        <v>#N/A</v>
      </c>
      <c r="M14" s="109" t="e">
        <f t="shared" ca="1" si="7"/>
        <v>#N/A</v>
      </c>
      <c r="N14" s="109" t="e">
        <f t="shared" ca="1" si="9"/>
        <v>#N/A</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B76D-748E-49EE-820A-17FBFCCC00EC}">
  <sheetPr codeName="Sheet51"/>
  <dimension ref="A1:F78"/>
  <sheetViews>
    <sheetView workbookViewId="0">
      <selection activeCell="A31" sqref="A31:A34"/>
    </sheetView>
  </sheetViews>
  <sheetFormatPr defaultRowHeight="14.4" x14ac:dyDescent="0.3"/>
  <cols>
    <col min="1" max="1" width="24.33203125" bestFit="1" customWidth="1"/>
    <col min="2" max="2" width="27.5546875" bestFit="1" customWidth="1"/>
    <col min="3" max="3" width="40.5546875" bestFit="1" customWidth="1"/>
    <col min="4" max="4" width="9.6640625" customWidth="1"/>
    <col min="5" max="5" width="11.109375" bestFit="1" customWidth="1"/>
    <col min="6" max="6" width="16.6640625" bestFit="1" customWidth="1"/>
    <col min="8" max="8" width="19.6640625" bestFit="1" customWidth="1"/>
    <col min="10" max="10" width="12.109375" bestFit="1" customWidth="1"/>
  </cols>
  <sheetData>
    <row r="1" spans="1:6" ht="18" thickBot="1" x14ac:dyDescent="0.4">
      <c r="A1" s="10" t="s">
        <v>0</v>
      </c>
      <c r="E1" s="10" t="s">
        <v>40</v>
      </c>
    </row>
    <row r="2" spans="1:6" ht="15" thickTop="1" x14ac:dyDescent="0.3">
      <c r="A2" s="2" t="s">
        <v>1</v>
      </c>
      <c r="B2" s="2" t="s">
        <v>2</v>
      </c>
      <c r="C2" s="3" t="s">
        <v>3</v>
      </c>
      <c r="E2" s="1" t="s">
        <v>40</v>
      </c>
      <c r="F2" s="55" t="s">
        <v>418</v>
      </c>
    </row>
    <row r="3" spans="1:6" x14ac:dyDescent="0.3">
      <c r="A3" s="5" t="s">
        <v>109</v>
      </c>
      <c r="B3" s="5" t="s">
        <v>96</v>
      </c>
      <c r="C3" s="6" t="s">
        <v>59</v>
      </c>
      <c r="E3" s="6" t="s">
        <v>110</v>
      </c>
      <c r="F3" s="116">
        <v>1.4999999999999999E-2</v>
      </c>
    </row>
    <row r="4" spans="1:6" x14ac:dyDescent="0.3">
      <c r="A4" s="8" t="s">
        <v>132</v>
      </c>
      <c r="B4" s="8" t="s">
        <v>96</v>
      </c>
      <c r="C4" s="9" t="s">
        <v>60</v>
      </c>
      <c r="E4" s="9" t="s">
        <v>111</v>
      </c>
      <c r="F4" s="117">
        <v>1.4999999999999999E-2</v>
      </c>
    </row>
    <row r="5" spans="1:6" x14ac:dyDescent="0.3">
      <c r="A5" s="5" t="s">
        <v>94</v>
      </c>
      <c r="B5" s="5" t="s">
        <v>97</v>
      </c>
      <c r="C5" s="6" t="s">
        <v>68</v>
      </c>
      <c r="E5" s="6" t="s">
        <v>112</v>
      </c>
      <c r="F5" s="116">
        <v>1.4999999999999999E-2</v>
      </c>
    </row>
    <row r="6" spans="1:6" x14ac:dyDescent="0.3">
      <c r="A6" s="8" t="s">
        <v>88</v>
      </c>
      <c r="B6" s="8" t="s">
        <v>97</v>
      </c>
      <c r="C6" s="9" t="s">
        <v>61</v>
      </c>
      <c r="E6" s="9" t="s">
        <v>113</v>
      </c>
      <c r="F6" s="117">
        <v>1.4999999999999999E-2</v>
      </c>
    </row>
    <row r="7" spans="1:6" x14ac:dyDescent="0.3">
      <c r="A7" s="57" t="s">
        <v>95</v>
      </c>
      <c r="B7" s="6" t="s">
        <v>64</v>
      </c>
      <c r="C7" s="6" t="s">
        <v>62</v>
      </c>
      <c r="E7" s="6" t="s">
        <v>114</v>
      </c>
      <c r="F7" s="116">
        <v>1.4999999999999999E-2</v>
      </c>
    </row>
    <row r="8" spans="1:6" x14ac:dyDescent="0.3">
      <c r="A8" s="8" t="s">
        <v>89</v>
      </c>
      <c r="B8" s="8" t="s">
        <v>97</v>
      </c>
      <c r="C8" s="9" t="s">
        <v>63</v>
      </c>
      <c r="E8" s="9" t="s">
        <v>115</v>
      </c>
      <c r="F8" s="117">
        <v>1.4999999999999999E-2</v>
      </c>
    </row>
    <row r="9" spans="1:6" x14ac:dyDescent="0.3">
      <c r="A9" s="5" t="s">
        <v>90</v>
      </c>
      <c r="B9" s="6" t="s">
        <v>64</v>
      </c>
      <c r="C9" s="6" t="s">
        <v>64</v>
      </c>
      <c r="E9" s="6" t="s">
        <v>116</v>
      </c>
      <c r="F9" s="116">
        <v>1.4999999999999999E-2</v>
      </c>
    </row>
    <row r="10" spans="1:6" x14ac:dyDescent="0.3">
      <c r="A10" s="8" t="s">
        <v>91</v>
      </c>
      <c r="B10" s="8" t="s">
        <v>97</v>
      </c>
      <c r="C10" s="9" t="s">
        <v>65</v>
      </c>
      <c r="E10" s="9" t="s">
        <v>117</v>
      </c>
      <c r="F10" s="117">
        <v>1.4999999999999999E-2</v>
      </c>
    </row>
    <row r="11" spans="1:6" x14ac:dyDescent="0.3">
      <c r="A11" s="5" t="s">
        <v>92</v>
      </c>
      <c r="B11" s="5" t="s">
        <v>96</v>
      </c>
      <c r="C11" s="6" t="s">
        <v>66</v>
      </c>
      <c r="E11" s="6" t="s">
        <v>118</v>
      </c>
      <c r="F11" s="116">
        <v>1.4999999999999999E-2</v>
      </c>
    </row>
    <row r="12" spans="1:6" x14ac:dyDescent="0.3">
      <c r="A12" s="8" t="s">
        <v>93</v>
      </c>
      <c r="B12" s="8" t="s">
        <v>97</v>
      </c>
      <c r="C12" s="9" t="s">
        <v>67</v>
      </c>
      <c r="E12" s="9" t="s">
        <v>119</v>
      </c>
      <c r="F12" s="117">
        <v>1.4999999999999999E-2</v>
      </c>
    </row>
    <row r="13" spans="1:6" x14ac:dyDescent="0.3">
      <c r="E13" s="6" t="s">
        <v>120</v>
      </c>
      <c r="F13" s="116">
        <v>1.4999999999999999E-2</v>
      </c>
    </row>
    <row r="14" spans="1:6" x14ac:dyDescent="0.3">
      <c r="E14" s="9" t="s">
        <v>121</v>
      </c>
      <c r="F14" s="117">
        <v>1.4999999999999999E-2</v>
      </c>
    </row>
    <row r="15" spans="1:6" ht="18" thickBot="1" x14ac:dyDescent="0.4">
      <c r="A15" s="10" t="s">
        <v>4</v>
      </c>
      <c r="E15" s="6" t="s">
        <v>122</v>
      </c>
      <c r="F15" s="116">
        <f t="shared" ref="F15:F22" si="0">($F$24-$F$14)/COUNTA($E$15:$E$24)+F14</f>
        <v>1.5285E-2</v>
      </c>
    </row>
    <row r="16" spans="1:6" ht="15" thickTop="1" x14ac:dyDescent="0.3">
      <c r="A16" s="1" t="s">
        <v>5</v>
      </c>
      <c r="E16" s="9" t="s">
        <v>123</v>
      </c>
      <c r="F16" s="117">
        <f t="shared" si="0"/>
        <v>1.5570000000000001E-2</v>
      </c>
    </row>
    <row r="17" spans="1:6" x14ac:dyDescent="0.3">
      <c r="A17" s="4" t="s">
        <v>142</v>
      </c>
      <c r="E17" s="6" t="s">
        <v>124</v>
      </c>
      <c r="F17" s="116">
        <f t="shared" si="0"/>
        <v>1.5855000000000001E-2</v>
      </c>
    </row>
    <row r="18" spans="1:6" x14ac:dyDescent="0.3">
      <c r="A18" s="7" t="s">
        <v>248</v>
      </c>
      <c r="E18" s="9" t="s">
        <v>125</v>
      </c>
      <c r="F18" s="117">
        <f t="shared" si="0"/>
        <v>1.6140000000000002E-2</v>
      </c>
    </row>
    <row r="19" spans="1:6" x14ac:dyDescent="0.3">
      <c r="A19" s="4" t="s">
        <v>70</v>
      </c>
      <c r="E19" s="6" t="s">
        <v>126</v>
      </c>
      <c r="F19" s="116">
        <f t="shared" si="0"/>
        <v>1.6425000000000002E-2</v>
      </c>
    </row>
    <row r="20" spans="1:6" x14ac:dyDescent="0.3">
      <c r="A20" s="7" t="s">
        <v>6</v>
      </c>
      <c r="E20" s="9" t="s">
        <v>127</v>
      </c>
      <c r="F20" s="117">
        <f t="shared" si="0"/>
        <v>1.6710000000000003E-2</v>
      </c>
    </row>
    <row r="21" spans="1:6" x14ac:dyDescent="0.3">
      <c r="A21" s="4" t="s">
        <v>7</v>
      </c>
      <c r="E21" s="6" t="s">
        <v>128</v>
      </c>
      <c r="F21" s="116">
        <f t="shared" si="0"/>
        <v>1.6995000000000003E-2</v>
      </c>
    </row>
    <row r="22" spans="1:6" x14ac:dyDescent="0.3">
      <c r="A22" s="7" t="s">
        <v>144</v>
      </c>
      <c r="E22" s="9" t="s">
        <v>129</v>
      </c>
      <c r="F22" s="117">
        <f t="shared" si="0"/>
        <v>1.7280000000000004E-2</v>
      </c>
    </row>
    <row r="23" spans="1:6" x14ac:dyDescent="0.3">
      <c r="E23" s="6" t="s">
        <v>130</v>
      </c>
      <c r="F23" s="116">
        <f>($F$24-$F$14)/COUNTA($E$15:$E$24)+F22</f>
        <v>1.7565000000000004E-2</v>
      </c>
    </row>
    <row r="24" spans="1:6" ht="18" thickBot="1" x14ac:dyDescent="0.4">
      <c r="A24" s="10" t="s">
        <v>69</v>
      </c>
      <c r="E24" s="9" t="s">
        <v>131</v>
      </c>
      <c r="F24" s="117">
        <v>1.7850000000000001E-2</v>
      </c>
    </row>
    <row r="25" spans="1:6" ht="15" thickTop="1" x14ac:dyDescent="0.3">
      <c r="A25" s="1" t="s">
        <v>5</v>
      </c>
    </row>
    <row r="26" spans="1:6" x14ac:dyDescent="0.3">
      <c r="A26" s="7" t="s">
        <v>288</v>
      </c>
    </row>
    <row r="27" spans="1:6" x14ac:dyDescent="0.3">
      <c r="A27" s="4" t="s">
        <v>143</v>
      </c>
    </row>
    <row r="28" spans="1:6" x14ac:dyDescent="0.3">
      <c r="A28" s="7" t="s">
        <v>6</v>
      </c>
    </row>
    <row r="29" spans="1:6" x14ac:dyDescent="0.3">
      <c r="A29" s="4" t="s">
        <v>70</v>
      </c>
    </row>
    <row r="30" spans="1:6" x14ac:dyDescent="0.3">
      <c r="A30" s="7" t="s">
        <v>71</v>
      </c>
    </row>
    <row r="31" spans="1:6" x14ac:dyDescent="0.3">
      <c r="A31" s="4" t="s">
        <v>73</v>
      </c>
    </row>
    <row r="32" spans="1:6" x14ac:dyDescent="0.3">
      <c r="A32" s="7" t="s">
        <v>72</v>
      </c>
    </row>
    <row r="33" spans="1:1" x14ac:dyDescent="0.3">
      <c r="A33" s="4" t="s">
        <v>75</v>
      </c>
    </row>
    <row r="34" spans="1:1" x14ac:dyDescent="0.3">
      <c r="A34" s="7" t="s">
        <v>74</v>
      </c>
    </row>
    <row r="36" spans="1:1" ht="18" thickBot="1" x14ac:dyDescent="0.4">
      <c r="A36" s="10" t="s">
        <v>11</v>
      </c>
    </row>
    <row r="37" spans="1:1" ht="15" thickTop="1" x14ac:dyDescent="0.3">
      <c r="A37" s="1" t="s">
        <v>10</v>
      </c>
    </row>
    <row r="38" spans="1:1" x14ac:dyDescent="0.3">
      <c r="A38" s="4" t="s">
        <v>12</v>
      </c>
    </row>
    <row r="39" spans="1:1" x14ac:dyDescent="0.3">
      <c r="A39" s="7" t="s">
        <v>213</v>
      </c>
    </row>
    <row r="40" spans="1:1" x14ac:dyDescent="0.3">
      <c r="A40" s="4" t="s">
        <v>8</v>
      </c>
    </row>
    <row r="42" spans="1:1" ht="18" thickBot="1" x14ac:dyDescent="0.4">
      <c r="A42" s="10" t="s">
        <v>140</v>
      </c>
    </row>
    <row r="43" spans="1:1" ht="15" thickTop="1" x14ac:dyDescent="0.3">
      <c r="A43" s="1" t="s">
        <v>140</v>
      </c>
    </row>
    <row r="44" spans="1:1" x14ac:dyDescent="0.3">
      <c r="A44" s="4" t="s">
        <v>141</v>
      </c>
    </row>
    <row r="45" spans="1:1" x14ac:dyDescent="0.3">
      <c r="A45" s="7" t="s">
        <v>9</v>
      </c>
    </row>
    <row r="46" spans="1:1" x14ac:dyDescent="0.3">
      <c r="A46" s="4"/>
    </row>
    <row r="49" spans="1:1" ht="18" thickBot="1" x14ac:dyDescent="0.4">
      <c r="A49" s="10" t="s">
        <v>167</v>
      </c>
    </row>
    <row r="50" spans="1:1" ht="15" thickTop="1" x14ac:dyDescent="0.3">
      <c r="A50" s="1" t="s">
        <v>167</v>
      </c>
    </row>
    <row r="51" spans="1:1" x14ac:dyDescent="0.3">
      <c r="A51" s="4" t="s">
        <v>78</v>
      </c>
    </row>
    <row r="52" spans="1:1" x14ac:dyDescent="0.3">
      <c r="A52" s="7" t="s">
        <v>70</v>
      </c>
    </row>
    <row r="53" spans="1:1" x14ac:dyDescent="0.3">
      <c r="A53" s="4" t="s">
        <v>214</v>
      </c>
    </row>
    <row r="54" spans="1:1" x14ac:dyDescent="0.3">
      <c r="A54" s="7" t="s">
        <v>303</v>
      </c>
    </row>
    <row r="55" spans="1:1" x14ac:dyDescent="0.3">
      <c r="A55" s="4"/>
    </row>
    <row r="56" spans="1:1" x14ac:dyDescent="0.3">
      <c r="A56" s="7"/>
    </row>
    <row r="57" spans="1:1" x14ac:dyDescent="0.3">
      <c r="A57" s="4"/>
    </row>
    <row r="58" spans="1:1" x14ac:dyDescent="0.3">
      <c r="A58" s="7"/>
    </row>
    <row r="59" spans="1:1" ht="18" thickBot="1" x14ac:dyDescent="0.4">
      <c r="A59" s="10" t="s">
        <v>20</v>
      </c>
    </row>
    <row r="60" spans="1:1" ht="15" thickTop="1" x14ac:dyDescent="0.3">
      <c r="A60" s="1" t="s">
        <v>20</v>
      </c>
    </row>
    <row r="61" spans="1:1" x14ac:dyDescent="0.3">
      <c r="A61" s="4" t="s">
        <v>13</v>
      </c>
    </row>
    <row r="62" spans="1:1" x14ac:dyDescent="0.3">
      <c r="A62" s="7" t="s">
        <v>14</v>
      </c>
    </row>
    <row r="63" spans="1:1" x14ac:dyDescent="0.3">
      <c r="A63" s="4" t="s">
        <v>15</v>
      </c>
    </row>
    <row r="65" spans="1:3" ht="18" thickBot="1" x14ac:dyDescent="0.4">
      <c r="A65" s="10" t="s">
        <v>37</v>
      </c>
      <c r="B65" s="10"/>
      <c r="C65" s="10"/>
    </row>
    <row r="66" spans="1:3" ht="15" thickTop="1" x14ac:dyDescent="0.3">
      <c r="A66" s="1" t="s">
        <v>38</v>
      </c>
      <c r="B66" s="55"/>
      <c r="C66" s="55"/>
    </row>
    <row r="67" spans="1:3" x14ac:dyDescent="0.3">
      <c r="A67" s="4">
        <v>0</v>
      </c>
      <c r="B67" s="4">
        <v>0</v>
      </c>
      <c r="C67" s="4">
        <v>0</v>
      </c>
    </row>
    <row r="68" spans="1:3" x14ac:dyDescent="0.3">
      <c r="A68" s="7">
        <v>1</v>
      </c>
      <c r="B68" s="7">
        <v>1</v>
      </c>
      <c r="C68" s="7">
        <v>1</v>
      </c>
    </row>
    <row r="69" spans="1:3" x14ac:dyDescent="0.3">
      <c r="A69" s="4">
        <v>1.5</v>
      </c>
      <c r="B69" s="4">
        <v>2</v>
      </c>
      <c r="C69" s="4">
        <v>2</v>
      </c>
    </row>
    <row r="70" spans="1:3" x14ac:dyDescent="0.3">
      <c r="A70" s="7">
        <v>2</v>
      </c>
      <c r="B70" s="7">
        <v>3</v>
      </c>
      <c r="C70" s="7">
        <v>3</v>
      </c>
    </row>
    <row r="71" spans="1:3" x14ac:dyDescent="0.3">
      <c r="A71" s="4">
        <v>3</v>
      </c>
      <c r="B71" s="4">
        <v>4</v>
      </c>
      <c r="C71" s="4">
        <v>4</v>
      </c>
    </row>
    <row r="72" spans="1:3" x14ac:dyDescent="0.3">
      <c r="A72" s="7">
        <v>4</v>
      </c>
      <c r="B72" s="7">
        <v>5</v>
      </c>
      <c r="C72" s="7">
        <v>5</v>
      </c>
    </row>
    <row r="73" spans="1:3" x14ac:dyDescent="0.3">
      <c r="A73" s="4">
        <v>5</v>
      </c>
      <c r="B73" s="4">
        <v>6</v>
      </c>
      <c r="C73" s="4">
        <v>6</v>
      </c>
    </row>
    <row r="74" spans="1:3" x14ac:dyDescent="0.3">
      <c r="A74" s="7">
        <v>6</v>
      </c>
      <c r="B74" s="7">
        <v>7</v>
      </c>
      <c r="C74" s="7">
        <v>7</v>
      </c>
    </row>
    <row r="75" spans="1:3" x14ac:dyDescent="0.3">
      <c r="A75" s="4">
        <v>7</v>
      </c>
      <c r="B75" s="4">
        <v>8</v>
      </c>
      <c r="C75" s="4">
        <v>8</v>
      </c>
    </row>
    <row r="76" spans="1:3" x14ac:dyDescent="0.3">
      <c r="A76" s="7">
        <v>8</v>
      </c>
      <c r="B76" s="7">
        <v>9</v>
      </c>
      <c r="C76" s="7">
        <v>9</v>
      </c>
    </row>
    <row r="77" spans="1:3" x14ac:dyDescent="0.3">
      <c r="A77" s="4">
        <v>9</v>
      </c>
      <c r="B77" s="4">
        <v>10</v>
      </c>
      <c r="C77" s="4">
        <v>10</v>
      </c>
    </row>
    <row r="78" spans="1:3" x14ac:dyDescent="0.3">
      <c r="A78" s="7">
        <v>10</v>
      </c>
      <c r="B78" s="7">
        <v>11</v>
      </c>
      <c r="C78" s="7">
        <v>11</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Ohje</vt:lpstr>
      <vt:lpstr>Purkulaskuri</vt:lpstr>
      <vt:lpstr>Tiedot</vt:lpstr>
      <vt:lpstr>Kokoparametrit</vt:lpstr>
      <vt:lpstr>Materiaaliparametrit</vt:lpstr>
      <vt:lpstr>Materiaalilaskenta</vt:lpstr>
      <vt:lpstr>Kuva</vt:lpstr>
      <vt:lpstr>Apu</vt:lpstr>
      <vt:lpstr>AsfalttiAla</vt:lpstr>
      <vt:lpstr>HormiLkm</vt:lpstr>
      <vt:lpstr>HormiMassa</vt:lpstr>
      <vt:lpstr>IkkunaAla</vt:lpstr>
      <vt:lpstr>jp_05dec</vt:lpstr>
      <vt:lpstr>Julkisivu1</vt:lpstr>
      <vt:lpstr>Julkisivu2</vt:lpstr>
      <vt:lpstr>JulkisivuAla</vt:lpstr>
      <vt:lpstr>JulkisivuAla1</vt:lpstr>
      <vt:lpstr>JulkisivuAla2</vt:lpstr>
      <vt:lpstr>K</vt:lpstr>
      <vt:lpstr>KattoAla</vt:lpstr>
      <vt:lpstr>Kattomateriaali</vt:lpstr>
      <vt:lpstr>Kellaripiiri</vt:lpstr>
      <vt:lpstr>MärkätilaAla</vt:lpstr>
      <vt:lpstr>MärkätilaAlaluku</vt:lpstr>
      <vt:lpstr>NurkkaLkm</vt:lpstr>
      <vt:lpstr>PohjaAla</vt:lpstr>
      <vt:lpstr>PohjaPiiri</vt:lpstr>
      <vt:lpstr>pp_05dec</vt:lpstr>
      <vt:lpstr>Purkulaskuri!Print_Area</vt:lpstr>
      <vt:lpstr>regr_I</vt:lpstr>
      <vt:lpstr>regr_k</vt:lpstr>
      <vt:lpstr>ri_jp</vt:lpstr>
      <vt:lpstr>ri_NurkkaAla</vt:lpstr>
      <vt:lpstr>ri_paff</vt:lpstr>
      <vt:lpstr>ri_pp</vt:lpstr>
      <vt:lpstr>ri_vpala</vt:lpstr>
      <vt:lpstr>rs_jp</vt:lpstr>
      <vt:lpstr>rs_NurkkaAla</vt:lpstr>
      <vt:lpstr>rs_paff</vt:lpstr>
      <vt:lpstr>rs_pp</vt:lpstr>
      <vt:lpstr>rs_vpala</vt:lpstr>
      <vt:lpstr>rs0_VpAla</vt:lpstr>
      <vt:lpstr>Runko1</vt:lpstr>
      <vt:lpstr>Runko2</vt:lpstr>
      <vt:lpstr>RunkoAla1</vt:lpstr>
      <vt:lpstr>RunkoAla2</vt:lpstr>
      <vt:lpstr>V</vt:lpstr>
      <vt:lpstr>VolAlaSuhde</vt:lpstr>
      <vt:lpstr>VälipohjaAla</vt:lpstr>
      <vt:lpstr>VäliseinäAla</vt:lpstr>
      <vt:lpstr>VäliseinäOmluku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Rakentamisen purkumuovien mallinnustyökalu</dc:title>
  <dc:creator>Forecon Oy</dc:creator>
  <cp:lastModifiedBy>Excell Martin</cp:lastModifiedBy>
  <cp:lastPrinted>2025-01-23T14:03:24Z</cp:lastPrinted>
  <dcterms:created xsi:type="dcterms:W3CDTF">2022-10-10T06:02:44Z</dcterms:created>
  <dcterms:modified xsi:type="dcterms:W3CDTF">2025-04-15T08:51:54Z</dcterms:modified>
</cp:coreProperties>
</file>